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ink/ink1.xml" ContentType="application/inkml+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66925"/>
  <xr:revisionPtr revIDLastSave="751" documentId="13_ncr:1_{07D095BD-C6B4-4FCF-97B9-74BE9A6B3B30}" xr6:coauthVersionLast="47" xr6:coauthVersionMax="47" xr10:uidLastSave="{A3FB6C39-7820-43B2-8C89-3FCC606F5D24}"/>
  <workbookProtection workbookAlgorithmName="SHA-512" workbookHashValue="FS1MV82WpnabqHfoUxDCG3mBzcdPO9rreyb7hhANAB5x0J7piN9ob6oi584ccgYx2bJFYAsrDnalAq67lTWycg==" workbookSaltValue="LcEAoSD22fCPMEZuh1a18w==" workbookSpinCount="100000" lockStructure="1"/>
  <bookViews>
    <workbookView xWindow="-28920" yWindow="-120" windowWidth="29040" windowHeight="15720" tabRatio="753" xr2:uid="{3D7A63F5-D680-4515-95BE-C35B6285AF85}"/>
  </bookViews>
  <sheets>
    <sheet name="Cover_sheet" sheetId="4" r:id="rId1"/>
    <sheet name="Notes " sheetId="5" r:id="rId2"/>
    <sheet name="Table_of_contents" sheetId="12" r:id="rId3"/>
    <sheet name="Dashboard " sheetId="18" r:id="rId4"/>
    <sheet name="Table_4a" sheetId="6" r:id="rId5"/>
    <sheet name="Table_4b" sheetId="16" r:id="rId6"/>
    <sheet name="Table_4c" sheetId="7" r:id="rId7"/>
    <sheet name="Table_4d" sheetId="8" r:id="rId8"/>
    <sheet name="Table_4e" sheetId="9" r:id="rId9"/>
    <sheet name="Table_4f" sheetId="13" r:id="rId10"/>
    <sheet name="Table_4g" sheetId="14" r:id="rId11"/>
    <sheet name="Table_4h" sheetId="15" r:id="rId12"/>
    <sheet name="workings" sheetId="20" state="veryHidden" r:id="rId13"/>
    <sheet name="data" sheetId="19" state="veryHidden" r:id="rId14"/>
  </sheets>
  <definedNames>
    <definedName name="Slicer_KPI1">#N/A</definedName>
    <definedName name="Slicer_Year1">#N/A</definedName>
  </definedNames>
  <calcPr calcId="191028"/>
  <pivotCaches>
    <pivotCache cacheId="19"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9" l="1"/>
  <c r="E13" i="19"/>
  <c r="E14" i="19"/>
  <c r="A25" i="20" l="1"/>
  <c r="A24" i="20"/>
  <c r="A23" i="20"/>
  <c r="E44" i="19"/>
  <c r="E43" i="19"/>
  <c r="B43" i="19"/>
  <c r="B44" i="19"/>
  <c r="C43" i="19"/>
  <c r="B40" i="19"/>
  <c r="C40" i="19" s="1"/>
  <c r="B36" i="19"/>
  <c r="C36" i="19" s="1"/>
  <c r="B32" i="19"/>
  <c r="C32" i="19" s="1"/>
  <c r="B23" i="19"/>
  <c r="C23" i="19" s="1"/>
  <c r="B19" i="19"/>
  <c r="C19" i="19" s="1"/>
  <c r="B15" i="19"/>
  <c r="C15" i="19" s="1"/>
  <c r="B11" i="19"/>
  <c r="C11" i="19" s="1"/>
  <c r="A11" i="19"/>
  <c r="C44" i="19" l="1"/>
  <c r="A44" i="19"/>
  <c r="B39" i="19"/>
  <c r="A39" i="19"/>
  <c r="B35" i="19"/>
  <c r="C35" i="19" s="1"/>
  <c r="A35" i="19"/>
  <c r="B31" i="19"/>
  <c r="C31" i="19" s="1"/>
  <c r="A31" i="19"/>
  <c r="B22" i="19"/>
  <c r="A22" i="19"/>
  <c r="B18" i="19"/>
  <c r="A18" i="19"/>
  <c r="B14" i="19"/>
  <c r="C14" i="19" s="1"/>
  <c r="A14" i="19"/>
  <c r="B10" i="19"/>
  <c r="A10" i="19"/>
  <c r="E35" i="19" l="1"/>
  <c r="C39" i="19"/>
  <c r="C18" i="19"/>
  <c r="E18" i="19"/>
  <c r="F18" i="19"/>
  <c r="G18" i="19"/>
  <c r="H18" i="19"/>
  <c r="I18" i="19"/>
  <c r="J18" i="19"/>
  <c r="K18" i="19"/>
  <c r="C10" i="19"/>
  <c r="C22" i="19"/>
  <c r="E22" i="19"/>
  <c r="H19" i="18" l="1"/>
  <c r="A26" i="20"/>
  <c r="H20" i="18"/>
  <c r="H18" i="18"/>
  <c r="B42" i="19"/>
  <c r="B41" i="19"/>
  <c r="A42" i="19"/>
  <c r="A41" i="19"/>
  <c r="B38" i="19"/>
  <c r="C38" i="19" s="1"/>
  <c r="B37" i="19"/>
  <c r="C37" i="19" s="1"/>
  <c r="A38" i="19"/>
  <c r="A37" i="19"/>
  <c r="B34" i="19"/>
  <c r="C34" i="19" s="1"/>
  <c r="B33" i="19"/>
  <c r="A34" i="19"/>
  <c r="A33" i="19"/>
  <c r="A26" i="19"/>
  <c r="A27" i="19"/>
  <c r="A28" i="19"/>
  <c r="A29" i="19"/>
  <c r="A30" i="19"/>
  <c r="B25" i="19"/>
  <c r="C25" i="19" s="1"/>
  <c r="B26" i="19"/>
  <c r="B27" i="19"/>
  <c r="B28" i="19"/>
  <c r="B29" i="19"/>
  <c r="B30" i="19"/>
  <c r="C30" i="19" s="1"/>
  <c r="B24" i="19"/>
  <c r="C24" i="19" s="1"/>
  <c r="A25" i="19"/>
  <c r="A24" i="19"/>
  <c r="B21" i="19"/>
  <c r="B20" i="19"/>
  <c r="C20" i="19" s="1"/>
  <c r="A21" i="19"/>
  <c r="A20" i="19"/>
  <c r="B17" i="19"/>
  <c r="C17" i="19" s="1"/>
  <c r="B16" i="19"/>
  <c r="C16" i="19" s="1"/>
  <c r="A17" i="19"/>
  <c r="B13" i="19"/>
  <c r="C13" i="19" s="1"/>
  <c r="A16" i="19"/>
  <c r="A13" i="19"/>
  <c r="B12" i="19"/>
  <c r="A12" i="19"/>
  <c r="A9" i="19"/>
  <c r="A4" i="19"/>
  <c r="A5" i="19"/>
  <c r="A6" i="19"/>
  <c r="A7" i="19"/>
  <c r="A8" i="19"/>
  <c r="A3" i="19"/>
  <c r="B4" i="19"/>
  <c r="C4" i="19" s="1"/>
  <c r="B5" i="19"/>
  <c r="B6" i="19"/>
  <c r="B7" i="19"/>
  <c r="B8" i="19"/>
  <c r="C8" i="19" s="1"/>
  <c r="B9" i="19"/>
  <c r="C9" i="19" s="1"/>
  <c r="B3" i="19"/>
  <c r="E3" i="19" s="1"/>
  <c r="A59" i="20"/>
  <c r="B59" i="20" s="1"/>
  <c r="E41" i="19" l="1"/>
  <c r="C41" i="19"/>
  <c r="E12" i="19"/>
  <c r="C12" i="19"/>
  <c r="E21" i="19"/>
  <c r="C21" i="19"/>
  <c r="E42" i="19"/>
  <c r="C42" i="19"/>
  <c r="E33" i="19"/>
  <c r="C33" i="19"/>
  <c r="E29" i="19"/>
  <c r="C29" i="19"/>
  <c r="E28" i="19"/>
  <c r="C28" i="19"/>
  <c r="E27" i="19"/>
  <c r="C27" i="19"/>
  <c r="E26" i="19"/>
  <c r="C26" i="19"/>
  <c r="E7" i="19"/>
  <c r="C7" i="19"/>
  <c r="E6" i="19"/>
  <c r="C6" i="19"/>
  <c r="E5" i="19"/>
  <c r="C5" i="19"/>
  <c r="K17" i="19"/>
  <c r="J17" i="19"/>
  <c r="H17" i="19"/>
  <c r="G17" i="19"/>
  <c r="F17" i="19"/>
  <c r="I17" i="19"/>
  <c r="H14" i="18"/>
  <c r="H12" i="18"/>
  <c r="G59" i="20"/>
  <c r="E34" i="19"/>
  <c r="E38" i="19"/>
  <c r="E37" i="19"/>
  <c r="E25" i="19"/>
  <c r="E24" i="19"/>
  <c r="E30" i="19"/>
  <c r="E8" i="19"/>
  <c r="E9" i="19"/>
  <c r="I16" i="19"/>
  <c r="E16" i="19"/>
  <c r="J16" i="19"/>
  <c r="H16" i="19"/>
  <c r="E4" i="19"/>
  <c r="G16" i="19"/>
  <c r="E17" i="19"/>
  <c r="F16" i="19"/>
  <c r="K16" i="19"/>
  <c r="C3" i="19"/>
  <c r="H59" i="20"/>
  <c r="C59" i="20"/>
  <c r="F59" i="20"/>
  <c r="D59" i="20"/>
  <c r="E59" i="20"/>
  <c r="B62" i="20" l="1"/>
  <c r="B65" i="20" s="1" a="1"/>
  <c r="B65" i="20" s="1"/>
  <c r="A76" i="20" l="1"/>
  <c r="E65" i="20"/>
  <c r="F65" i="20" s="1"/>
  <c r="E62" i="20"/>
  <c r="I62" i="20" s="1"/>
  <c r="K62" i="20" s="1"/>
  <c r="B63" i="20"/>
  <c r="E63" i="20" l="1"/>
  <c r="I63" i="20" s="1"/>
  <c r="K63" i="20" s="1"/>
  <c r="B66" i="20"/>
  <c r="B69" i="20" s="1"/>
  <c r="A75" i="20"/>
  <c r="E66" i="20"/>
  <c r="F66" i="20" s="1"/>
  <c r="I65" i="20"/>
  <c r="A74" i="20" l="1"/>
  <c r="F63" i="20"/>
  <c r="B68" i="20"/>
  <c r="A77" i="20" s="1"/>
  <c r="I66" i="20"/>
  <c r="A72" i="20" l="1"/>
  <c r="A83" i="20" s="1"/>
  <c r="A73" i="20"/>
  <c r="A79" i="20"/>
  <c r="M12" i="18"/>
  <c r="M14" i="18"/>
  <c r="A87" i="20"/>
  <c r="A71" i="20" l="1"/>
  <c r="H15"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<sst xmlns="http://schemas.openxmlformats.org/spreadsheetml/2006/main" count="407" uniqueCount="192">
  <si>
    <r>
      <t xml:space="preserve">The PIs under this theme are:
</t>
    </r>
    <r>
      <rPr>
        <b/>
        <sz val="12"/>
        <color rgb="FF000000"/>
        <rFont val="Calibri"/>
        <family val="2"/>
      </rPr>
      <t>PI: Supply Chain Carbon Emissions
PI: Condition of Cultural Heritage assets
PI: Water quality
PI: Litter</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</si>
  <si>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</si>
  <si>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</si>
  <si>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</si>
  <si>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</si>
  <si>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</si>
  <si>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</si>
  <si>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</si>
  <si>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</si>
  <si>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</si>
  <si>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</si>
  <si>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</si>
  <si>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</si>
  <si>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</si>
  <si>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</si>
  <si>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</si>
  <si>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</si>
  <si>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</si>
  <si>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</si>
  <si>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</si>
  <si>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</si>
  <si>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</si>
  <si>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</si>
  <si>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t>Contact details</t>
  </si>
  <si>
    <t xml:space="preserve">highways.monitor@orr.gov.uk </t>
  </si>
  <si>
    <t xml:space="preserve">Notes </t>
  </si>
  <si>
    <t xml:space="preserve">This worksheet contain one table. </t>
  </si>
  <si>
    <t xml:space="preserve">Note number </t>
  </si>
  <si>
    <t xml:space="preserve">Note text </t>
  </si>
  <si>
    <t>Note 1</t>
  </si>
  <si>
    <t>Note 2</t>
  </si>
  <si>
    <t xml:space="preserve">Noise Important Areas, as identified by DEFRA, on all trunk roads and motorways forming the strategic road network. This includes roads managed by DBFO organisations. </t>
  </si>
  <si>
    <t>Note 3</t>
  </si>
  <si>
    <t xml:space="preserve">Habitat changes across all National Highways activities, where such activities commence within road period 2. </t>
  </si>
  <si>
    <t>Note 4</t>
  </si>
  <si>
    <t xml:space="preserve">A biodiversity unit is defined as a standard quantification of biodiversity made up of area and quality of habitats. </t>
  </si>
  <si>
    <t>Note 5</t>
  </si>
  <si>
    <t>Bring links agreed with the department and based on the Pollution Climate Mapping model into compliance with legal NO2 limits in the shortest timescales possible.</t>
  </si>
  <si>
    <t>Note 6</t>
  </si>
  <si>
    <t>Supply Chain Carbon Emissions PI - this metric became operational from 1 April 2021. The metric includes all direct suppliers and major projects under National Highways management involved in the construction, maintenance and operation of the network. The normalised figure excludes Design, Build, Finance and Operate (DBFO) contracts.</t>
  </si>
  <si>
    <t>Note 7</t>
  </si>
  <si>
    <t>All culturally significant assets owned by National Highways on the strategic road network, as defined by: 
• They are listed in at least one of the data sources (see input data below) 
• They have a cultural heritage asset plan 
• They are located on or overlapping with National Highways land 
• They meet these criteria after the National Highways asset on the land concerned has been commissioned</t>
  </si>
  <si>
    <t>Table of contents</t>
  </si>
  <si>
    <t>This worksheet contains one table.</t>
  </si>
  <si>
    <t>Worksheet name</t>
  </si>
  <si>
    <t>Worksheet title</t>
  </si>
  <si>
    <t>Dashboard</t>
  </si>
  <si>
    <r>
      <rPr>
        <sz val="12"/>
        <color rgb="FF000000"/>
        <rFont val="Calibri"/>
        <family val="2"/>
        <scheme val="minor"/>
      </rPr>
      <t>Interactive dashboard for outcome area</t>
    </r>
    <r>
      <rPr>
        <b/>
        <sz val="12"/>
        <color rgb="FF000000"/>
        <rFont val="Calibri"/>
        <family val="2"/>
        <scheme val="minor"/>
      </rPr>
      <t>: Delivering better environmental outcomes.</t>
    </r>
  </si>
  <si>
    <t>Table_4a</t>
  </si>
  <si>
    <r>
      <t xml:space="preserve">Noise: </t>
    </r>
    <r>
      <rPr>
        <sz val="12"/>
        <color rgb="FF000000"/>
        <rFont val="Calibri"/>
        <family val="2"/>
        <scheme val="minor"/>
      </rPr>
      <t xml:space="preserve">measures the number of households within mitigated Noise Important Areas where noise has been reduced through National Highways designated fund projects. </t>
    </r>
  </si>
  <si>
    <t>Table_4b</t>
  </si>
  <si>
    <r>
      <t xml:space="preserve">Biodiversity: </t>
    </r>
    <r>
      <rPr>
        <sz val="12"/>
        <color rgb="FF000000"/>
        <rFont val="Calibri"/>
        <family val="2"/>
        <scheme val="minor"/>
      </rPr>
      <t xml:space="preserve">measures the net loss of biodiversity across National Highways activities, where activities started within road period 2. </t>
    </r>
  </si>
  <si>
    <t>Table_4c</t>
  </si>
  <si>
    <t>Table_4d</t>
  </si>
  <si>
    <r>
      <t xml:space="preserve">National Highways carbon emissions: </t>
    </r>
    <r>
      <rPr>
        <sz val="12"/>
        <rFont val="Calibri"/>
        <family val="2"/>
        <scheme val="minor"/>
      </rPr>
      <t>measures the carbon emissions as a result of electricity consumption, fuel use and other day-to-day operational activities RP2.</t>
    </r>
  </si>
  <si>
    <t>Table_4e</t>
  </si>
  <si>
    <r>
      <rPr>
        <b/>
        <sz val="12"/>
        <color rgb="FF000000"/>
        <rFont val="Calibri"/>
        <family val="2"/>
      </rPr>
      <t xml:space="preserve">Supply Chain Carbon emissions: </t>
    </r>
    <r>
      <rPr>
        <sz val="12"/>
        <color rgb="FF000000"/>
        <rFont val="Calibri"/>
        <family val="2"/>
      </rPr>
      <t>measures the carbon footprint associated with National Highways' supply chain and also normalised by the volume of work undertaken.</t>
    </r>
  </si>
  <si>
    <t>Table_4f</t>
  </si>
  <si>
    <r>
      <t xml:space="preserve">Condition of Cultural Heritage assets: </t>
    </r>
    <r>
      <rPr>
        <sz val="12"/>
        <rFont val="Calibri"/>
        <family val="2"/>
        <scheme val="minor"/>
      </rPr>
      <t>a numeric score that measures the overall condition of the culturally significant assets owned by National Highways. The larger the figure, the better overall condition of the culturally significant assets.</t>
    </r>
  </si>
  <si>
    <t>Table_4g</t>
  </si>
  <si>
    <r>
      <t xml:space="preserve">Water Quality: </t>
    </r>
    <r>
      <rPr>
        <sz val="12"/>
        <rFont val="Calibri"/>
        <family val="2"/>
        <scheme val="minor"/>
      </rPr>
      <t>measures the length of watercourse enhanced through the mitigation of medium, high, and very high risk outfalls as well as through other enhancements, for example river retraining/rewilding.</t>
    </r>
  </si>
  <si>
    <t>Table_4h</t>
  </si>
  <si>
    <r>
      <t xml:space="preserve">Litter: </t>
    </r>
    <r>
      <rPr>
        <sz val="12"/>
        <rFont val="Calibri"/>
        <family val="2"/>
        <scheme val="minor"/>
      </rPr>
      <t>the percentage of the SRN where litter is graded at A or B as defined in the code of practice on litter and refuse 2006</t>
    </r>
    <r>
      <rPr>
        <b/>
        <sz val="12"/>
        <rFont val="Calibri"/>
        <family val="2"/>
        <scheme val="minor"/>
      </rPr>
      <t xml:space="preserve">. </t>
    </r>
  </si>
  <si>
    <t xml:space="preserve">Delivering better environmental outcomes, </t>
  </si>
  <si>
    <t>Strategic Road Network in England</t>
  </si>
  <si>
    <t>See how National Highways’ performance is changing over time and across its regions.</t>
  </si>
  <si>
    <t xml:space="preserve">A road period spans five years. The first road period (road period 1) commenced in April 2015 and ended in March 2020. The second road period (road period 2) commenced in April 2020 and is due to end in March 2025. </t>
  </si>
  <si>
    <t xml:space="preserve">KPIs and PIs </t>
  </si>
  <si>
    <r>
      <t xml:space="preserve">Financial year </t>
    </r>
    <r>
      <rPr>
        <sz val="10"/>
        <color rgb="FF333333"/>
        <rFont val="Arial"/>
        <family val="2"/>
      </rPr>
      <t>(hold ctrl/command to select multiple years)</t>
    </r>
  </si>
  <si>
    <t>Some shorthand is used in this table, [x] = not available. [b] = break in time series.</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</si>
  <si>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</si>
  <si>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r>
      <rPr>
        <b/>
        <sz val="12"/>
        <color rgb="FFFF0000"/>
        <rFont val="Calibri"/>
        <family val="2"/>
      </rPr>
      <t>National-level target for road period 2</t>
    </r>
    <r>
      <rPr>
        <sz val="12"/>
        <color rgb="FFFF0000"/>
        <rFont val="Calibri"/>
        <family val="2"/>
      </rPr>
      <t>: 7,500 households benefitting from noise reduction in mitigated Noise Important Areas.</t>
    </r>
  </si>
  <si>
    <t>Time period</t>
  </si>
  <si>
    <t>Yorkshire and North East
(Number of households within Noise Important Areas where noise has been reduced)</t>
  </si>
  <si>
    <t>North West
(Number of households within Noise Important Areas where noise has been reduced)</t>
  </si>
  <si>
    <t>Midlands
(Number of households within Noise Important Areas where noise has been reduced)</t>
  </si>
  <si>
    <t>East
(Number of households within Noise Important Areas where noise has been reduced)</t>
  </si>
  <si>
    <t>South East
(Number of households within Noise Important Areas where noise has been reduced)</t>
  </si>
  <si>
    <t>South West
(Number of households within Noise Important Areas where noise has been reduced)</t>
  </si>
  <si>
    <t>April 2015 to March 2016</t>
  </si>
  <si>
    <t>[x]</t>
  </si>
  <si>
    <t>April 2016 to March 2017</t>
  </si>
  <si>
    <t>April 2017 to March 2018</t>
  </si>
  <si>
    <t>April 2018 to March 2019</t>
  </si>
  <si>
    <t>April 2019 to March 2020</t>
  </si>
  <si>
    <t>April 2020 to March 2021 [b]</t>
  </si>
  <si>
    <t>April 2021 to March 2022</t>
  </si>
  <si>
    <t>April 2022 to March 2023</t>
  </si>
  <si>
    <r>
      <t xml:space="preserve">National-level target for road period 2: </t>
    </r>
    <r>
      <rPr>
        <sz val="12"/>
        <color rgb="FFFF0000"/>
        <rFont val="Calibri"/>
        <family val="2"/>
      </rPr>
      <t>Achieve no net loss of biodiversity, across all National Highways activities, by the end of road period 2.</t>
    </r>
  </si>
  <si>
    <t xml:space="preserve">April 2020 to March 2021 </t>
  </si>
  <si>
    <t xml:space="preserve">Some shorthand is used in this table, [x] = not available. </t>
  </si>
  <si>
    <t>National-level target: Reduce National Highways' carbon emission as a result of electricity consumption, fuel use and other day-to-day operational activities by 67% at the end of RP2, compared to 2017-18.</t>
  </si>
  <si>
    <t>National Highways 
(tonnes of CO2e)</t>
  </si>
  <si>
    <t>April 2020 to March 2021</t>
  </si>
  <si>
    <t xml:space="preserve"> [x]</t>
  </si>
  <si>
    <t>National Highways
(absolute tonnes CO2e)</t>
  </si>
  <si>
    <t>Yorkshire and North East 
(absolute tonnes CO2e)</t>
  </si>
  <si>
    <t>North West
(absolute tonnes CO2e)</t>
  </si>
  <si>
    <t>Midlands
(absolute tonnes CO2e)</t>
  </si>
  <si>
    <t>East
(absolute tonnes CO2e)</t>
  </si>
  <si>
    <t>South East
(absolute tonnes CO2e)</t>
  </si>
  <si>
    <t>South West
(absolute tonnes CO2e)</t>
  </si>
  <si>
    <t>March 2021 to April 2022</t>
  </si>
  <si>
    <t>`</t>
  </si>
  <si>
    <t>Yorkshire and North East 
(km of watercourse enhanced)</t>
  </si>
  <si>
    <t>North West
(km of watercourse enhanced)</t>
  </si>
  <si>
    <t>Midlands
(km of watercourse enhanced)</t>
  </si>
  <si>
    <t>East
(km of watercourse enhanced)</t>
  </si>
  <si>
    <t>South East
(km of watercourse enhanced)</t>
  </si>
  <si>
    <t>South West
(km of watercourse enhanced)</t>
  </si>
  <si>
    <t>CHARTS</t>
  </si>
  <si>
    <t>Year</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</si>
  <si>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</si>
  <si>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</si>
  <si>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</si>
  <si>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</si>
  <si>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</si>
  <si>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</si>
  <si>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</si>
  <si>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2020-21</t>
  </si>
  <si>
    <t>2021-22</t>
  </si>
  <si>
    <t>2022-23</t>
  </si>
  <si>
    <t xml:space="preserve">Yorkshire and North East </t>
  </si>
  <si>
    <t xml:space="preserve">North West </t>
  </si>
  <si>
    <t xml:space="preserve">Midlands </t>
  </si>
  <si>
    <t>East</t>
  </si>
  <si>
    <t xml:space="preserve">South East </t>
  </si>
  <si>
    <t>South West</t>
  </si>
  <si>
    <t>National Highways</t>
  </si>
  <si>
    <t>KPI</t>
  </si>
  <si>
    <t>Air Quality</t>
  </si>
  <si>
    <t xml:space="preserve"> North West
</t>
  </si>
  <si>
    <t xml:space="preserve"> Midlands
</t>
  </si>
  <si>
    <t xml:space="preserve"> East
</t>
  </si>
  <si>
    <t xml:space="preserve"> South East
</t>
  </si>
  <si>
    <t xml:space="preserve"> South West
</t>
  </si>
  <si>
    <t>Latest year</t>
  </si>
  <si>
    <t>compared to NH</t>
  </si>
  <si>
    <t>max</t>
  </si>
  <si>
    <t xml:space="preserve"> accounts for </t>
  </si>
  <si>
    <t>Absolute value</t>
  </si>
  <si>
    <t>min</t>
  </si>
  <si>
    <t>ENV</t>
  </si>
  <si>
    <t>Best performing</t>
  </si>
  <si>
    <t>Worst performing</t>
  </si>
  <si>
    <t>Table</t>
  </si>
  <si>
    <t>Time frame</t>
  </si>
  <si>
    <t>Yorkshire and North East</t>
  </si>
  <si>
    <t xml:space="preserve">North West
</t>
  </si>
  <si>
    <t xml:space="preserve">Midlands
</t>
  </si>
  <si>
    <t xml:space="preserve">East
</t>
  </si>
  <si>
    <t xml:space="preserve">South East
</t>
  </si>
  <si>
    <t xml:space="preserve">South West
</t>
  </si>
  <si>
    <t>Noise</t>
  </si>
  <si>
    <t>Biodiversity</t>
  </si>
  <si>
    <t>National Highways carbon emissions</t>
  </si>
  <si>
    <t>Supply chain carbon emissions</t>
  </si>
  <si>
    <t>Condition of Cultural Heritage assets</t>
  </si>
  <si>
    <t>Water quality</t>
  </si>
  <si>
    <t>Litter</t>
  </si>
  <si>
    <t>April 2023 to March 2024</t>
  </si>
  <si>
    <t>Table 4e: Supply chain carbon emissions, National Highways, annual data, April 2015 to March 2024 [Note 6]</t>
  </si>
  <si>
    <t>2023-24</t>
  </si>
  <si>
    <t>Data for 2020-21 and 2021-22 are affected by reduced travel demand due to the impact of the pandemic.</t>
  </si>
  <si>
    <r>
      <t xml:space="preserve">This data table was initially published </t>
    </r>
    <r>
      <rPr>
        <b/>
        <sz val="12"/>
        <color rgb="FF000000"/>
        <rFont val="Calibri"/>
        <family val="2"/>
      </rPr>
      <t>July 2024</t>
    </r>
  </si>
  <si>
    <r>
      <t>The next publication date is scheduled for</t>
    </r>
    <r>
      <rPr>
        <b/>
        <sz val="12"/>
        <color rgb="FF000000"/>
        <rFont val="Calibri"/>
        <family val="2"/>
      </rPr>
      <t xml:space="preserve"> July 2025</t>
    </r>
  </si>
  <si>
    <t>Media enquiries: 020 7282 3737</t>
  </si>
  <si>
    <t>Table 4: Delivering better environmental outcomes, England's strategic road network, April 2020 to March 2024</t>
  </si>
  <si>
    <t>Regional comparison</t>
  </si>
  <si>
    <t>Table 4a: Noise, England's strategic road network, annual data, April 2015 to March 2024 [Note 2]</t>
  </si>
  <si>
    <t>England's strategic road network 
(Number of households within Noise Important Areas where noise has been reduced)</t>
  </si>
  <si>
    <t>Table 4b: Biodiversity, England's strategic road network, annual data, April 2020 to March 2024 [Note 3][Note 4]</t>
  </si>
  <si>
    <t>Table 4c: Air Quality, England's strategic road network, annual data, April 2020 to March 2024 [Note 5]</t>
  </si>
  <si>
    <r>
      <rPr>
        <b/>
        <sz val="12"/>
        <color rgb="FFFF0000"/>
        <rFont val="Calibri"/>
        <family val="2"/>
      </rPr>
      <t>National-level target for road period 2:</t>
    </r>
    <r>
      <rPr>
        <sz val="12"/>
        <color rgb="FFFF0000"/>
        <rFont val="Calibri"/>
        <family val="2"/>
      </rPr>
      <t xml:space="preserve"> Bring links based on the Pollution Climate Mapping model into compliance with legal nitrogen (NO2) limits in the shortest timescales possible.</t>
    </r>
  </si>
  <si>
    <t>England's strategic road network
(number of links in exceedance of the legal nitrogen dioxide (NO2) limits)</t>
  </si>
  <si>
    <t>Yorkshire and North East
(number of links in exceedance of the legal nitrogen dioxide (NO2) limits)</t>
  </si>
  <si>
    <t>North West
(number of links in exceedance of the legal nitrogen dioxide (NO2) limits)</t>
  </si>
  <si>
    <t>Midlands
(number of links in exceedance of the legal nitrogen dioxide (NO2) limits)</t>
  </si>
  <si>
    <t>East
(number of links in exceedance of the legal nitrogen dioxide (NO2) limits)</t>
  </si>
  <si>
    <t>South East
(number of  links in exceedance of the legal nitrogen dioxide (NO2) limits)</t>
  </si>
  <si>
    <t>South West
(number of links in exceedance of the legal nitrogen dioxide (NO2) limits)</t>
  </si>
  <si>
    <r>
      <t xml:space="preserve">Air Quality: </t>
    </r>
    <r>
      <rPr>
        <sz val="12"/>
        <color rgb="FF000000"/>
        <rFont val="Calibri"/>
        <family val="2"/>
        <scheme val="minor"/>
      </rPr>
      <t xml:space="preserve">measures the number of links in exceedance of the legal nitrogen dioxide (NO2) limits as set by the EU and accepted by the government. </t>
    </r>
  </si>
  <si>
    <r>
      <t xml:space="preserve">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PS4: Delivering better environmental outcomes. The KPIs under this theme are:
</t>
    </r>
    <r>
      <rPr>
        <b/>
        <sz val="12"/>
        <color rgb="FF000000"/>
        <rFont val="Calibri"/>
        <family val="2"/>
      </rPr>
      <t>KPI: Noise (National-level target for road period 2: 7,500 households benefitting from noise reduction in mitigated Noise Important Areas)
KPI: Biodiversity (National-level target for road period 2: Deliver no net loss of biodiversity, across all National Highway's activities, by the end of road period 2.)
KPI: Air quality (National-level target for road period 2: Bring links based on the Pollution Climate Mapping model into compliance with legal nitrogen (NO2) limits in the shortest timescales possible)
KPI: National Highways carbon emissions (National-level target for road period 2: Reduce National Highway's carbon emission as a result of electricity consumption, fuel use and other day-to-day operational activities by 67% at the end of RP2, from a 2017-18 baseline).</t>
    </r>
  </si>
  <si>
    <t>England's strategic road network
(km of watercourse enhanced)</t>
  </si>
  <si>
    <t>Table 4g: Water quality , England's strategic road network, annual data, April 2020 to March 2024</t>
  </si>
  <si>
    <t>Table 4h: Litter, England's strategic road network, annual data, April 2020 to March 2024</t>
  </si>
  <si>
    <t>England's strategic road network
 (percentage)</t>
  </si>
  <si>
    <t>Table 4f: Condition of Cultural Heritage assets, England's strategic road network, annual data, April 2020 to March 2024 [Note 7]</t>
  </si>
  <si>
    <t>England's strategic road network
(numeric score)</t>
  </si>
  <si>
    <t>Table 4d: National Highways carbon emissions, annual data, April 2020 to March 2024</t>
  </si>
  <si>
    <t>National Highways
(Biodiversity units delivered)</t>
  </si>
  <si>
    <t>Performance Monitoring Statement (April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</si>
</sst>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20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sz val="12"/>
      <color rgb="FFFF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b/>
      <sz val="12"/>
      <color rgb="FFFF0000"/>
      <name val="Calibri"/>
      <family val="2"/>
    </font>
    <font>
      <b/>
      <sz val="14"/>
      <name val="Calibri"/>
      <family val="2"/>
    </font>
    <font>
      <sz val="8"/>
      <name val="Calibri"/>
      <family val="2"/>
    </font>
    <font>
      <b/>
      <sz val="12"/>
      <name val="Calibri"/>
      <family val="2"/>
    </font>
    <font>
      <sz val="12"/>
      <color rgb="FF333333"/>
      <name val="Georgia"/>
      <family val="1"/>
    </font>
    <font>
      <sz val="11"/>
      <color rgb="FF2941C5"/>
      <name val="Georgia Pro Black"/>
      <family val="1"/>
    </font>
    <font>
      <sz val="11"/>
      <color rgb="FF253268"/>
      <name val="Georgia Pro Black"/>
      <family val="1"/>
    </font>
    <font>
      <sz val="11"/>
      <color rgb="FF253268"/>
      <name val="Arial"/>
      <family val="2"/>
    </font>
    <font>
      <b/>
      <sz val="11"/>
      <color rgb="FF253268"/>
      <name val="Arial"/>
      <family val="2"/>
    </font>
    <font>
      <b/>
      <sz val="12"/>
      <color rgb="FF000000"/>
      <name val="Arial"/>
      <family val="2"/>
    </font>
    <font>
      <b/>
      <u/>
      <sz val="12"/>
      <name val="Arial"/>
      <family val="2"/>
    </font>
    <font>
      <b/>
      <u/>
      <sz val="13"/>
      <name val="Georgia"/>
      <family val="1"/>
    </font>
    <font>
      <sz val="13"/>
      <name val="Georgia"/>
      <family val="1"/>
    </font>
    <font>
      <sz val="12"/>
      <name val="Georgia"/>
      <family val="1"/>
    </font>
    <font>
      <sz val="13"/>
      <color rgb="FF333333"/>
      <name val="Arial"/>
      <family val="2"/>
    </font>
    <font>
      <sz val="10"/>
      <color rgb="FF333333"/>
      <name val="Arial"/>
      <family val="2"/>
    </font>
    <font>
      <sz val="13"/>
      <color rgb="FF333333"/>
      <name val="Georgia"/>
      <family val="1"/>
    </font>
    <font>
      <sz val="15"/>
      <color rgb="FF000000"/>
      <name val="Georgia"/>
      <family val="1"/>
    </font>
    <font>
      <sz val="12"/>
      <color rgb="FF000000"/>
      <name val="Arial"/>
      <family val="2"/>
    </font>
    <font>
      <sz val="15"/>
      <color rgb="FF000000"/>
      <name val="Arial"/>
      <family val="2"/>
    </font>
    <font>
      <sz val="11"/>
      <color rgb="FF000000"/>
      <name val="Georgia Pro Black"/>
      <family val="1"/>
    </font>
    <font>
      <sz val="28"/>
      <color rgb="FF000000"/>
      <name val="Georgia Pro Black"/>
      <family val="1"/>
    </font>
    <font>
      <sz val="28"/>
      <color rgb="FF000000"/>
      <name val="Arial Black"/>
      <family val="2"/>
    </font>
    <font>
      <b/>
      <sz val="11"/>
      <name val="Calibri"/>
      <family val="2"/>
    </font>
    <font>
      <b/>
      <sz val="11"/>
      <color rgb="FF000000"/>
      <name val="Calibri"/>
      <family val="2"/>
    </font>
    <font>
      <sz val="10"/>
      <color rgb="FF000000"/>
      <name val="Calibri"/>
      <family val="2"/>
    </font>
    <font>
      <b/>
      <sz val="10"/>
      <color theme="0"/>
      <name val="Calibri"/>
      <family val="2"/>
    </font>
    <font>
      <sz val="11"/>
      <color theme="0" tint="-0.14999847407452621"/>
      <name val="Calibri"/>
      <family val="2"/>
    </font>
    <font>
      <sz val="11"/>
      <name val="Segoe UI"/>
      <family val="2"/>
    </font>
    <font>
      <sz val="11"/>
      <name val="Calibri"/>
      <family val="2"/>
    </font>
    <font>
      <sz val="12"/>
      <color theme="1"/>
      <name val="Calibri"/>
      <family val="2"/>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0"/>
        <bgColor indexed="64"/>
      </patternFill>
    </fill>
    <fill>
      <patternFill patternType="solid">
        <fgColor rgb="FFFFFF00"/>
        <bgColor indexed="64"/>
      </patternFill>
    </fill>
    <fill>
      <patternFill patternType="solid">
        <fgColor theme="4"/>
        <bgColor theme="4"/>
      </patternFill>
    </fill>
  </fills>
  <borders count="64">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xf numFmtId="43" fontId="1" fillId="0" borderId="0" applyFont="0" applyFill="0" applyBorder="0" applyAlignment="0" applyProtection="0"/>
    <xf numFmtId="0" fontId="1" fillId="0" borderId="0"/>
    <xf numFmtId="0" fontId="18" fillId="0" borderId="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0" fillId="0" borderId="0"/>
    <xf numFmtId="0" fontId="20" fillId="0" borderId="0"/>
    <xf numFmtId="0" fontId="20" fillId="0" borderId="0"/>
    <xf numFmtId="0" fontId="20" fillId="0" borderId="0"/>
    <xf numFmtId="0" fontId="21" fillId="0" borderId="11" applyNumberFormat="0" applyFill="0" applyProtection="0">
      <alignment horizontal="center"/>
    </xf>
    <xf numFmtId="165" fontId="20" fillId="0" borderId="0" applyFont="0" applyFill="0" applyBorder="0" applyProtection="0">
      <alignment horizontal="right"/>
    </xf>
    <xf numFmtId="165" fontId="20" fillId="0" borderId="0" applyFont="0" applyFill="0" applyBorder="0" applyProtection="0">
      <alignment horizontal="right"/>
    </xf>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168" fontId="20" fillId="0" borderId="0" applyFont="0" applyFill="0" applyBorder="0" applyProtection="0">
      <alignment horizontal="right"/>
    </xf>
    <xf numFmtId="168" fontId="20" fillId="0" borderId="0" applyFont="0" applyFill="0" applyBorder="0" applyProtection="0">
      <alignment horizontal="right"/>
    </xf>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167" fontId="20" fillId="0" borderId="0" applyFont="0" applyFill="0" applyBorder="0" applyProtection="0">
      <alignment horizontal="right"/>
    </xf>
    <xf numFmtId="167" fontId="20" fillId="0" borderId="0" applyFont="0" applyFill="0" applyBorder="0" applyProtection="0">
      <alignment horizontal="right"/>
    </xf>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178" fontId="20" fillId="0" borderId="0" applyBorder="0"/>
    <xf numFmtId="0" fontId="40" fillId="51" borderId="12" applyNumberFormat="0" applyAlignment="0" applyProtection="0"/>
    <xf numFmtId="0" fontId="41" fillId="52" borderId="13" applyNumberFormat="0" applyAlignment="0" applyProtection="0"/>
    <xf numFmtId="167" fontId="22" fillId="0" borderId="0" applyFont="0" applyFill="0" applyBorder="0" applyProtection="0">
      <alignment horizontal="right"/>
    </xf>
    <xf numFmtId="169" fontId="22" fillId="0" borderId="0" applyFont="0" applyFill="0" applyBorder="0" applyProtection="0">
      <alignment horizontal="lef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4" fillId="0" borderId="14" applyNumberFormat="0" applyBorder="0" applyAlignment="0" applyProtection="0">
      <alignment horizontal="right" vertical="center"/>
    </xf>
    <xf numFmtId="179" fontId="20" fillId="0" borderId="0" applyFont="0" applyFill="0" applyBorder="0" applyAlignment="0" applyProtection="0"/>
    <xf numFmtId="0" fontId="42" fillId="0" borderId="0" applyNumberFormat="0" applyFill="0" applyBorder="0" applyAlignment="0" applyProtection="0"/>
    <xf numFmtId="0" fontId="55" fillId="0" borderId="0">
      <alignment horizontal="right"/>
      <protection locked="0"/>
    </xf>
    <xf numFmtId="0" fontId="23" fillId="0" borderId="0">
      <alignment horizontal="left"/>
    </xf>
    <xf numFmtId="0" fontId="24" fillId="0" borderId="0">
      <alignment horizontal="left"/>
    </xf>
    <xf numFmtId="0" fontId="20" fillId="0" borderId="0" applyFont="0" applyFill="0" applyBorder="0" applyProtection="0">
      <alignment horizontal="right"/>
    </xf>
    <xf numFmtId="0" fontId="20" fillId="0" borderId="0" applyFont="0" applyFill="0" applyBorder="0" applyProtection="0">
      <alignment horizontal="right"/>
    </xf>
    <xf numFmtId="0" fontId="43" fillId="34" borderId="0" applyNumberFormat="0" applyBorder="0" applyAlignment="0" applyProtection="0"/>
    <xf numFmtId="38" fontId="15" fillId="53" borderId="0" applyNumberFormat="0" applyBorder="0" applyAlignment="0" applyProtection="0"/>
    <xf numFmtId="0" fontId="25" fillId="54" borderId="15" applyProtection="0">
      <alignment horizontal="right"/>
    </xf>
    <xf numFmtId="0" fontId="26" fillId="54" borderId="0" applyProtection="0">
      <alignment horizontal="left"/>
    </xf>
    <xf numFmtId="0" fontId="44" fillId="0" borderId="16" applyNumberFormat="0" applyFill="0" applyAlignment="0" applyProtection="0"/>
    <xf numFmtId="0" fontId="56" fillId="0" borderId="0">
      <alignment vertical="top" wrapText="1"/>
    </xf>
    <xf numFmtId="0" fontId="56" fillId="0" borderId="0">
      <alignment vertical="top" wrapText="1"/>
    </xf>
    <xf numFmtId="0" fontId="56" fillId="0" borderId="0">
      <alignment vertical="top" wrapText="1"/>
    </xf>
    <xf numFmtId="0" fontId="56" fillId="0" borderId="0">
      <alignment vertical="top" wrapText="1"/>
    </xf>
    <xf numFmtId="0" fontId="45" fillId="0" borderId="17" applyNumberFormat="0" applyFill="0" applyAlignment="0" applyProtection="0"/>
    <xf numFmtId="170" fontId="57" fillId="0" borderId="0" applyNumberFormat="0" applyFill="0" applyAlignment="0" applyProtection="0"/>
    <xf numFmtId="0" fontId="46" fillId="0" borderId="18" applyNumberFormat="0" applyFill="0" applyAlignment="0" applyProtection="0"/>
    <xf numFmtId="170" fontId="58" fillId="0" borderId="0" applyNumberFormat="0" applyFill="0" applyAlignment="0" applyProtection="0"/>
    <xf numFmtId="0" fontId="46" fillId="0" borderId="0" applyNumberFormat="0" applyFill="0" applyBorder="0" applyAlignment="0" applyProtection="0"/>
    <xf numFmtId="170" fontId="59"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7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9" fillId="0" borderId="0" applyFill="0" applyBorder="0" applyProtection="0">
      <alignment horizontal="left"/>
    </xf>
    <xf numFmtId="10" fontId="15" fillId="55" borderId="9" applyNumberFormat="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25" fillId="0" borderId="19" applyProtection="0">
      <alignment horizontal="right"/>
    </xf>
    <xf numFmtId="0" fontId="25" fillId="0" borderId="15" applyProtection="0">
      <alignment horizontal="right"/>
    </xf>
    <xf numFmtId="0" fontId="25" fillId="0" borderId="20" applyProtection="0">
      <alignment horizontal="center"/>
      <protection locked="0"/>
    </xf>
    <xf numFmtId="0" fontId="48" fillId="0" borderId="21" applyNumberFormat="0" applyFill="0" applyAlignment="0" applyProtection="0"/>
    <xf numFmtId="0" fontId="20" fillId="0" borderId="0"/>
    <xf numFmtId="0" fontId="20" fillId="0" borderId="0"/>
    <xf numFmtId="0" fontId="20" fillId="0" borderId="0"/>
    <xf numFmtId="1" fontId="20" fillId="0" borderId="0" applyFont="0" applyFill="0" applyBorder="0" applyProtection="0">
      <alignment horizontal="right"/>
    </xf>
    <xf numFmtId="1" fontId="20" fillId="0" borderId="0" applyFont="0" applyFill="0" applyBorder="0" applyProtection="0">
      <alignment horizontal="right"/>
    </xf>
    <xf numFmtId="0" fontId="49" fillId="44"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56" borderId="22" applyNumberFormat="0" applyFont="0" applyAlignment="0" applyProtection="0"/>
    <xf numFmtId="0" fontId="50" fillId="51" borderId="23" applyNumberFormat="0" applyAlignment="0" applyProtection="0"/>
    <xf numFmtId="40" fontId="62" fillId="57" borderId="0">
      <alignment horizontal="right"/>
    </xf>
    <xf numFmtId="0" fontId="63" fillId="57" borderId="0">
      <alignment horizontal="right"/>
    </xf>
    <xf numFmtId="0" fontId="64" fillId="57" borderId="24"/>
    <xf numFmtId="0" fontId="64" fillId="0" borderId="0" applyBorder="0">
      <alignment horizontal="centerContinuous"/>
    </xf>
    <xf numFmtId="0" fontId="65" fillId="0" borderId="0" applyBorder="0">
      <alignment horizontal="centerContinuous"/>
    </xf>
    <xf numFmtId="171" fontId="20" fillId="0" borderId="0" applyFont="0" applyFill="0" applyBorder="0" applyProtection="0">
      <alignment horizontal="right"/>
    </xf>
    <xf numFmtId="171" fontId="20" fillId="0" borderId="0" applyFont="0" applyFill="0" applyBorder="0" applyProtection="0">
      <alignment horizontal="right"/>
    </xf>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0" borderId="0"/>
    <xf numFmtId="2" fontId="66" fillId="58" borderId="10" applyAlignment="0" applyProtection="0">
      <protection locked="0"/>
    </xf>
    <xf numFmtId="0" fontId="67" fillId="55" borderId="10" applyNumberFormat="0" applyAlignment="0" applyProtection="0"/>
    <xf numFmtId="0" fontId="68" fillId="59" borderId="9" applyNumberFormat="0" applyAlignment="0" applyProtection="0">
      <alignment horizontal="center" vertical="center"/>
    </xf>
    <xf numFmtId="4" fontId="30" fillId="60" borderId="23" applyNumberFormat="0" applyProtection="0">
      <alignment vertical="center"/>
    </xf>
    <xf numFmtId="4" fontId="69" fillId="60" borderId="23" applyNumberFormat="0" applyProtection="0">
      <alignment vertical="center"/>
    </xf>
    <xf numFmtId="4" fontId="30" fillId="60" borderId="23" applyNumberFormat="0" applyProtection="0">
      <alignment horizontal="left" vertical="center" indent="1"/>
    </xf>
    <xf numFmtId="4" fontId="30" fillId="60" borderId="23" applyNumberFormat="0" applyProtection="0">
      <alignment horizontal="left" vertical="center" indent="1"/>
    </xf>
    <xf numFmtId="0" fontId="20" fillId="61" borderId="23" applyNumberFormat="0" applyProtection="0">
      <alignment horizontal="left" vertical="center" indent="1"/>
    </xf>
    <xf numFmtId="4" fontId="30" fillId="62" borderId="23" applyNumberFormat="0" applyProtection="0">
      <alignment horizontal="right" vertical="center"/>
    </xf>
    <xf numFmtId="4" fontId="30" fillId="63" borderId="23" applyNumberFormat="0" applyProtection="0">
      <alignment horizontal="right" vertical="center"/>
    </xf>
    <xf numFmtId="4" fontId="30" fillId="64" borderId="23" applyNumberFormat="0" applyProtection="0">
      <alignment horizontal="right" vertical="center"/>
    </xf>
    <xf numFmtId="4" fontId="30" fillId="65" borderId="23" applyNumberFormat="0" applyProtection="0">
      <alignment horizontal="right" vertical="center"/>
    </xf>
    <xf numFmtId="4" fontId="30" fillId="66" borderId="23" applyNumberFormat="0" applyProtection="0">
      <alignment horizontal="right" vertical="center"/>
    </xf>
    <xf numFmtId="4" fontId="30" fillId="67" borderId="23" applyNumberFormat="0" applyProtection="0">
      <alignment horizontal="right" vertical="center"/>
    </xf>
    <xf numFmtId="4" fontId="30" fillId="68" borderId="23" applyNumberFormat="0" applyProtection="0">
      <alignment horizontal="right" vertical="center"/>
    </xf>
    <xf numFmtId="4" fontId="30" fillId="69" borderId="23" applyNumberFormat="0" applyProtection="0">
      <alignment horizontal="right" vertical="center"/>
    </xf>
    <xf numFmtId="4" fontId="30" fillId="70" borderId="23" applyNumberFormat="0" applyProtection="0">
      <alignment horizontal="right" vertical="center"/>
    </xf>
    <xf numFmtId="4" fontId="70" fillId="71" borderId="23" applyNumberFormat="0" applyProtection="0">
      <alignment horizontal="left" vertical="center" indent="1"/>
    </xf>
    <xf numFmtId="4" fontId="30" fillId="72" borderId="25" applyNumberFormat="0" applyProtection="0">
      <alignment horizontal="left" vertical="center" indent="1"/>
    </xf>
    <xf numFmtId="4" fontId="71" fillId="73" borderId="0" applyNumberFormat="0" applyProtection="0">
      <alignment horizontal="left" vertical="center" indent="1"/>
    </xf>
    <xf numFmtId="0" fontId="20" fillId="61" borderId="23" applyNumberFormat="0" applyProtection="0">
      <alignment horizontal="left" vertical="center" indent="1"/>
    </xf>
    <xf numFmtId="4" fontId="30" fillId="72" borderId="23" applyNumberFormat="0" applyProtection="0">
      <alignment horizontal="left" vertical="center" indent="1"/>
    </xf>
    <xf numFmtId="4" fontId="30" fillId="74" borderId="23" applyNumberFormat="0" applyProtection="0">
      <alignment horizontal="left" vertical="center" indent="1"/>
    </xf>
    <xf numFmtId="0" fontId="20" fillId="74" borderId="23" applyNumberFormat="0" applyProtection="0">
      <alignment horizontal="left" vertical="center" indent="1"/>
    </xf>
    <xf numFmtId="0" fontId="20" fillId="74" borderId="23" applyNumberFormat="0" applyProtection="0">
      <alignment horizontal="left" vertical="center" indent="1"/>
    </xf>
    <xf numFmtId="0" fontId="20" fillId="59" borderId="23" applyNumberFormat="0" applyProtection="0">
      <alignment horizontal="left" vertical="center" indent="1"/>
    </xf>
    <xf numFmtId="0" fontId="20" fillId="59" borderId="23" applyNumberFormat="0" applyProtection="0">
      <alignment horizontal="left" vertical="center" indent="1"/>
    </xf>
    <xf numFmtId="0" fontId="20" fillId="53" borderId="23" applyNumberFormat="0" applyProtection="0">
      <alignment horizontal="left" vertical="center" indent="1"/>
    </xf>
    <xf numFmtId="0" fontId="20" fillId="53" borderId="23" applyNumberFormat="0" applyProtection="0">
      <alignment horizontal="left" vertical="center" indent="1"/>
    </xf>
    <xf numFmtId="0" fontId="20" fillId="61" borderId="23" applyNumberFormat="0" applyProtection="0">
      <alignment horizontal="left" vertical="center" indent="1"/>
    </xf>
    <xf numFmtId="0" fontId="20" fillId="61" borderId="23" applyNumberFormat="0" applyProtection="0">
      <alignment horizontal="left" vertical="center" indent="1"/>
    </xf>
    <xf numFmtId="4" fontId="30" fillId="55" borderId="23" applyNumberFormat="0" applyProtection="0">
      <alignment vertical="center"/>
    </xf>
    <xf numFmtId="4" fontId="69" fillId="55" borderId="23" applyNumberFormat="0" applyProtection="0">
      <alignment vertical="center"/>
    </xf>
    <xf numFmtId="4" fontId="30" fillId="55" borderId="23" applyNumberFormat="0" applyProtection="0">
      <alignment horizontal="left" vertical="center" indent="1"/>
    </xf>
    <xf numFmtId="4" fontId="30" fillId="55" borderId="23" applyNumberFormat="0" applyProtection="0">
      <alignment horizontal="left" vertical="center" indent="1"/>
    </xf>
    <xf numFmtId="4" fontId="30" fillId="72" borderId="23" applyNumberFormat="0" applyProtection="0">
      <alignment horizontal="right" vertical="center"/>
    </xf>
    <xf numFmtId="4" fontId="69" fillId="72" borderId="23" applyNumberFormat="0" applyProtection="0">
      <alignment horizontal="right" vertical="center"/>
    </xf>
    <xf numFmtId="0" fontId="20" fillId="61" borderId="23" applyNumberFormat="0" applyProtection="0">
      <alignment horizontal="left" vertical="center" indent="1"/>
    </xf>
    <xf numFmtId="0" fontId="20" fillId="61" borderId="23" applyNumberFormat="0" applyProtection="0">
      <alignment horizontal="left" vertical="center" indent="1"/>
    </xf>
    <xf numFmtId="0" fontId="72" fillId="0" borderId="0"/>
    <xf numFmtId="4" fontId="73" fillId="72" borderId="23" applyNumberFormat="0" applyProtection="0">
      <alignment horizontal="right" vertical="center"/>
    </xf>
    <xf numFmtId="0" fontId="20" fillId="0" borderId="0"/>
    <xf numFmtId="0" fontId="31" fillId="57" borderId="8">
      <alignment horizontal="center"/>
    </xf>
    <xf numFmtId="3" fontId="32" fillId="57" borderId="0"/>
    <xf numFmtId="3" fontId="31" fillId="57" borderId="0"/>
    <xf numFmtId="0" fontId="32" fillId="57" borderId="0"/>
    <xf numFmtId="0" fontId="31" fillId="57" borderId="0"/>
    <xf numFmtId="0" fontId="32" fillId="57" borderId="0">
      <alignment horizontal="center"/>
    </xf>
    <xf numFmtId="0" fontId="33" fillId="0" borderId="0">
      <alignment wrapText="1"/>
    </xf>
    <xf numFmtId="0" fontId="33" fillId="0" borderId="0">
      <alignment wrapText="1"/>
    </xf>
    <xf numFmtId="0" fontId="33" fillId="0" borderId="0">
      <alignment wrapText="1"/>
    </xf>
    <xf numFmtId="0" fontId="33" fillId="0" borderId="0">
      <alignment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7" fillId="0" borderId="0"/>
    <xf numFmtId="0" fontId="37" fillId="0" borderId="0"/>
    <xf numFmtId="0" fontId="37" fillId="0" borderId="0"/>
    <xf numFmtId="172" fontId="15" fillId="0" borderId="0">
      <alignment wrapText="1"/>
      <protection locked="0"/>
    </xf>
    <xf numFmtId="172" fontId="15" fillId="0"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15" fillId="0" borderId="0">
      <alignment wrapText="1"/>
      <protection locked="0"/>
    </xf>
    <xf numFmtId="173" fontId="15" fillId="0" borderId="0">
      <alignment wrapText="1"/>
      <protection locked="0"/>
    </xf>
    <xf numFmtId="173" fontId="15" fillId="0" borderId="0">
      <alignment wrapText="1"/>
      <protection locked="0"/>
    </xf>
    <xf numFmtId="173" fontId="15" fillId="0"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15" fillId="0" borderId="0">
      <alignment wrapText="1"/>
      <protection locked="0"/>
    </xf>
    <xf numFmtId="174" fontId="15" fillId="0" borderId="0">
      <alignment wrapText="1"/>
      <protection locked="0"/>
    </xf>
    <xf numFmtId="174" fontId="15" fillId="0"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15" fillId="0" borderId="0">
      <alignment wrapText="1"/>
      <protection locked="0"/>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40" fontId="74" fillId="0" borderId="0"/>
    <xf numFmtId="0" fontId="51" fillId="0" borderId="0" applyNumberFormat="0" applyFill="0" applyBorder="0" applyAlignment="0" applyProtection="0"/>
    <xf numFmtId="0" fontId="75" fillId="0" borderId="0" applyNumberFormat="0" applyFill="0" applyBorder="0" applyProtection="0">
      <alignment horizontal="left" vertical="center" indent="10"/>
    </xf>
    <xf numFmtId="0" fontId="75" fillId="0" borderId="0" applyNumberFormat="0" applyFill="0" applyBorder="0" applyProtection="0">
      <alignment horizontal="left" vertical="center" indent="10"/>
    </xf>
    <xf numFmtId="0" fontId="52" fillId="0" borderId="28" applyNumberFormat="0" applyFill="0" applyAlignment="0" applyProtection="0"/>
    <xf numFmtId="0" fontId="53" fillId="0" borderId="0" applyNumberFormat="0" applyFill="0" applyBorder="0" applyAlignment="0" applyProtection="0"/>
    <xf numFmtId="0" fontId="1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82" fontId="20" fillId="0" borderId="0" applyNumberFormat="0" applyFont="0" applyBorder="0" applyAlignment="0">
      <alignment horizontal="right" indent="1"/>
    </xf>
    <xf numFmtId="182" fontId="20" fillId="0" borderId="0" applyNumberFormat="0" applyFont="0" applyBorder="0" applyAlignment="0">
      <alignment horizontal="right" indent="1"/>
    </xf>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20" fillId="79" borderId="32"/>
    <xf numFmtId="0" fontId="20" fillId="79" borderId="32"/>
    <xf numFmtId="0" fontId="20" fillId="79" borderId="32"/>
    <xf numFmtId="0" fontId="20" fillId="79" borderId="32"/>
    <xf numFmtId="0" fontId="20" fillId="79" borderId="32"/>
    <xf numFmtId="195" fontId="20" fillId="0" borderId="0">
      <protection locked="0"/>
    </xf>
    <xf numFmtId="195" fontId="20" fillId="0" borderId="33">
      <protection locked="0"/>
    </xf>
    <xf numFmtId="10" fontId="20" fillId="57" borderId="9">
      <alignment horizontal="right"/>
    </xf>
    <xf numFmtId="183" fontId="20" fillId="57" borderId="0"/>
    <xf numFmtId="182" fontId="20" fillId="0" borderId="10"/>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0" fontId="80" fillId="53" borderId="9" applyAlignment="0"/>
    <xf numFmtId="182" fontId="81" fillId="64" borderId="0"/>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3" fontId="82" fillId="60" borderId="9"/>
    <xf numFmtId="15" fontId="20" fillId="0" borderId="0"/>
    <xf numFmtId="15" fontId="20" fillId="0" borderId="0"/>
    <xf numFmtId="15" fontId="20" fillId="0" borderId="0"/>
    <xf numFmtId="15" fontId="20" fillId="0" borderId="0"/>
    <xf numFmtId="15" fontId="20" fillId="0" borderId="0"/>
    <xf numFmtId="15" fontId="20" fillId="0" borderId="0">
      <alignment horizontal="right" indent="1"/>
    </xf>
    <xf numFmtId="17" fontId="20" fillId="0" borderId="0">
      <alignment horizontal="right" indent="1"/>
    </xf>
    <xf numFmtId="194" fontId="20" fillId="0" borderId="0">
      <alignment horizontal="right" indent="1"/>
    </xf>
    <xf numFmtId="0" fontId="78" fillId="0" borderId="0" applyNumberFormat="0" applyFill="0" applyBorder="0" applyAlignment="0" applyProtection="0"/>
    <xf numFmtId="183" fontId="80" fillId="82" borderId="9">
      <alignment horizontal="center"/>
    </xf>
    <xf numFmtId="184" fontId="82" fillId="82" borderId="9"/>
    <xf numFmtId="187" fontId="80" fillId="70" borderId="9" applyNumberFormat="0" applyFont="0" applyBorder="0" applyAlignment="0"/>
    <xf numFmtId="40" fontId="84" fillId="55" borderId="0" applyNumberFormat="0" applyBorder="0" applyAlignment="0" applyProtection="0"/>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85" fillId="39" borderId="0" applyNumberFormat="0" applyBorder="0" applyAlignment="0" applyProtection="0"/>
    <xf numFmtId="0" fontId="85" fillId="39" borderId="0" applyNumberFormat="0" applyBorder="0" applyAlignment="0" applyProtection="0"/>
    <xf numFmtId="0" fontId="86" fillId="0" borderId="0">
      <alignment horizontal="left" vertical="top"/>
    </xf>
    <xf numFmtId="0" fontId="87" fillId="0" borderId="0">
      <alignment horizontal="left" vertical="top"/>
    </xf>
    <xf numFmtId="0" fontId="102" fillId="0" borderId="0"/>
    <xf numFmtId="0" fontId="103" fillId="0" borderId="0"/>
    <xf numFmtId="0" fontId="88" fillId="74" borderId="0" applyNumberFormat="0"/>
    <xf numFmtId="0" fontId="88" fillId="74" borderId="0" applyNumberFormat="0"/>
    <xf numFmtId="0" fontId="57" fillId="53" borderId="0"/>
    <xf numFmtId="0" fontId="57" fillId="53" borderId="0"/>
    <xf numFmtId="0" fontId="89" fillId="0" borderId="34"/>
    <xf numFmtId="0" fontId="89" fillId="0" borderId="34"/>
    <xf numFmtId="0" fontId="89" fillId="0" borderId="35"/>
    <xf numFmtId="0" fontId="89" fillId="0" borderId="35"/>
    <xf numFmtId="0" fontId="89" fillId="0" borderId="35"/>
    <xf numFmtId="0" fontId="89" fillId="0" borderId="35"/>
    <xf numFmtId="0" fontId="90" fillId="0" borderId="0"/>
    <xf numFmtId="0" fontId="91" fillId="0" borderId="0"/>
    <xf numFmtId="164" fontId="20" fillId="6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3" fontId="20" fillId="60" borderId="9">
      <protection locked="0"/>
    </xf>
    <xf numFmtId="0" fontId="92" fillId="0" borderId="0">
      <alignment horizontal="left"/>
    </xf>
    <xf numFmtId="188" fontId="20" fillId="80" borderId="9"/>
    <xf numFmtId="0" fontId="59" fillId="0" borderId="0">
      <alignment horizontal="left" indent="1"/>
    </xf>
    <xf numFmtId="0" fontId="59" fillId="0" borderId="0">
      <alignment horizontal="left" indent="1"/>
    </xf>
    <xf numFmtId="0" fontId="59" fillId="0" borderId="0">
      <alignment horizontal="left" indent="1"/>
    </xf>
    <xf numFmtId="184" fontId="83" fillId="58" borderId="9"/>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0" fontId="36" fillId="0" borderId="0">
      <alignment horizontal="right"/>
    </xf>
    <xf numFmtId="0" fontId="20" fillId="0" borderId="0"/>
    <xf numFmtId="0" fontId="20" fillId="0" borderId="0"/>
    <xf numFmtId="0" fontId="20" fillId="0" borderId="0"/>
    <xf numFmtId="0" fontId="20" fillId="0" borderId="0"/>
    <xf numFmtId="0" fontId="1" fillId="0" borderId="0"/>
    <xf numFmtId="0" fontId="105" fillId="0" borderId="0"/>
    <xf numFmtId="0" fontId="1" fillId="0" borderId="0"/>
    <xf numFmtId="0" fontId="20" fillId="60" borderId="0">
      <alignment horizontal="left" indent="1"/>
      <protection locked="0"/>
    </xf>
    <xf numFmtId="0" fontId="20" fillId="60" borderId="0">
      <alignment horizontal="left" indent="1"/>
      <protection locked="0"/>
    </xf>
    <xf numFmtId="0" fontId="93" fillId="42" borderId="36" applyNumberFormat="0" applyFont="0" applyAlignment="0" applyProtection="0"/>
    <xf numFmtId="0" fontId="93" fillId="42" borderId="36" applyNumberFormat="0" applyFont="0" applyAlignment="0" applyProtection="0"/>
    <xf numFmtId="0" fontId="15" fillId="0" borderId="0">
      <alignment horizontal="left" indent="1"/>
    </xf>
    <xf numFmtId="0" fontId="15" fillId="0" borderId="0">
      <alignment horizontal="left" indent="1"/>
    </xf>
    <xf numFmtId="0" fontId="15" fillId="0" borderId="0">
      <alignment horizontal="left" indent="1"/>
    </xf>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3" fontId="20" fillId="0" borderId="0">
      <alignment horizontal="right" indent="1"/>
    </xf>
    <xf numFmtId="166" fontId="20" fillId="0" borderId="0">
      <alignment horizontal="right" indent="1"/>
    </xf>
    <xf numFmtId="4" fontId="20" fillId="0" borderId="0">
      <alignment horizontal="right" indent="1"/>
    </xf>
    <xf numFmtId="182" fontId="20" fillId="0" borderId="0">
      <alignment horizontal="right" indent="1"/>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2" fontId="93" fillId="57" borderId="38" applyNumberFormat="0">
      <alignment vertical="center"/>
    </xf>
    <xf numFmtId="192" fontId="93" fillId="84" borderId="38" applyNumberFormat="0">
      <alignment vertical="center"/>
    </xf>
    <xf numFmtId="192" fontId="93" fillId="82" borderId="38" applyNumberFormat="0">
      <alignment vertical="center"/>
    </xf>
    <xf numFmtId="192" fontId="93" fillId="80" borderId="38" applyNumberFormat="0">
      <alignment vertical="center"/>
    </xf>
    <xf numFmtId="192" fontId="93" fillId="62" borderId="38" applyNumberFormat="0">
      <alignment vertical="center"/>
    </xf>
    <xf numFmtId="192" fontId="93" fillId="53" borderId="38" applyNumberFormat="0">
      <alignment vertical="center"/>
    </xf>
    <xf numFmtId="192" fontId="93" fillId="65" borderId="38" applyNumberFormat="0">
      <alignment vertical="center"/>
    </xf>
    <xf numFmtId="192" fontId="93" fillId="85" borderId="38" applyNumberFormat="0">
      <alignment vertical="center"/>
    </xf>
    <xf numFmtId="192" fontId="93" fillId="69" borderId="38" applyNumberFormat="0">
      <alignment vertical="center"/>
    </xf>
    <xf numFmtId="192" fontId="93" fillId="86" borderId="38" applyNumberFormat="0">
      <alignment vertical="center"/>
    </xf>
    <xf numFmtId="192" fontId="94" fillId="60" borderId="38">
      <protection locked="0"/>
    </xf>
    <xf numFmtId="192" fontId="94" fillId="58" borderId="38">
      <protection locked="0"/>
    </xf>
    <xf numFmtId="192" fontId="95" fillId="58" borderId="39" applyNumberFormat="0" applyFont="0" applyFill="0" applyAlignment="0" applyProtection="0">
      <protection locked="0"/>
    </xf>
    <xf numFmtId="192" fontId="36" fillId="0" borderId="0" applyNumberFormat="0" applyFill="0">
      <alignment horizontal="left" vertical="top"/>
    </xf>
    <xf numFmtId="192" fontId="36" fillId="0" borderId="0" applyNumberFormat="0" applyFill="0">
      <alignment horizontal="left" vertical="top"/>
    </xf>
    <xf numFmtId="192" fontId="36" fillId="0" borderId="0" applyNumberFormat="0" applyFill="0">
      <alignment horizontal="left" vertical="top"/>
    </xf>
    <xf numFmtId="0" fontId="96" fillId="67" borderId="0" applyNumberFormat="0">
      <alignment horizontal="left" vertical="center" indent="1"/>
    </xf>
    <xf numFmtId="0" fontId="88" fillId="74" borderId="0" applyNumberFormat="0">
      <alignment vertical="center"/>
    </xf>
    <xf numFmtId="0" fontId="57" fillId="53" borderId="0">
      <alignment vertical="center"/>
    </xf>
    <xf numFmtId="0" fontId="89" fillId="0" borderId="34">
      <alignment vertical="center"/>
    </xf>
    <xf numFmtId="190" fontId="20" fillId="57" borderId="0">
      <alignment horizontal="right"/>
    </xf>
    <xf numFmtId="0" fontId="50" fillId="81" borderId="23" applyNumberFormat="0" applyAlignment="0" applyProtection="0"/>
    <xf numFmtId="0" fontId="50" fillId="81" borderId="23" applyNumberFormat="0" applyAlignment="0" applyProtection="0"/>
    <xf numFmtId="191" fontId="30" fillId="81" borderId="0">
      <alignment horizontal="right"/>
    </xf>
    <xf numFmtId="0" fontId="97" fillId="87" borderId="0">
      <alignment horizontal="center"/>
    </xf>
    <xf numFmtId="0" fontId="81" fillId="88" borderId="0"/>
    <xf numFmtId="0" fontId="98" fillId="81" borderId="0" applyBorder="0">
      <alignment horizontal="centerContinuous"/>
    </xf>
    <xf numFmtId="0" fontId="99" fillId="88" borderId="0" applyBorder="0">
      <alignment horizontal="centerContinuous"/>
    </xf>
    <xf numFmtId="9" fontId="20" fillId="0" borderId="0">
      <alignment horizontal="right" indent="1"/>
    </xf>
    <xf numFmtId="164" fontId="20" fillId="0" borderId="0">
      <alignment horizontal="right" indent="1"/>
    </xf>
    <xf numFmtId="10" fontId="20" fillId="0" borderId="0">
      <alignment horizontal="right" indent="1"/>
    </xf>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53" borderId="0">
      <protection locked="0"/>
    </xf>
    <xf numFmtId="0" fontId="20" fillId="53" borderId="0">
      <protection locked="0"/>
    </xf>
    <xf numFmtId="0" fontId="20" fillId="53" borderId="0">
      <protection locked="0"/>
    </xf>
    <xf numFmtId="0" fontId="20" fillId="53" borderId="0">
      <protection locked="0"/>
    </xf>
    <xf numFmtId="0" fontId="20" fillId="53" borderId="0">
      <protection locked="0"/>
    </xf>
    <xf numFmtId="0" fontId="57" fillId="0" borderId="0">
      <alignment horizontal="left" indent="1"/>
    </xf>
    <xf numFmtId="0" fontId="77" fillId="0" borderId="0">
      <alignment horizontal="left" indent="1"/>
    </xf>
    <xf numFmtId="0" fontId="59" fillId="53" borderId="9">
      <alignment horizontal="center" vertical="center" wrapText="1"/>
    </xf>
    <xf numFmtId="0" fontId="100" fillId="89" borderId="29">
      <alignment vertical="top" wrapText="1"/>
    </xf>
    <xf numFmtId="164" fontId="20" fillId="72" borderId="9"/>
    <xf numFmtId="0" fontId="27" fillId="0" borderId="0">
      <alignment horizontal="left"/>
    </xf>
    <xf numFmtId="41" fontId="20" fillId="0" borderId="0" applyFont="0" applyFill="0" applyBorder="0" applyAlignment="0" applyProtection="0"/>
    <xf numFmtId="41" fontId="20" fillId="0" borderId="0" applyFont="0" applyFill="0" applyBorder="0" applyAlignment="0" applyProtection="0"/>
    <xf numFmtId="0" fontId="22" fillId="0" borderId="0">
      <alignment vertical="top"/>
    </xf>
    <xf numFmtId="191" fontId="80" fillId="80" borderId="40"/>
    <xf numFmtId="0" fontId="80" fillId="60" borderId="9"/>
    <xf numFmtId="0" fontId="101" fillId="0" borderId="0" applyNumberFormat="0" applyFill="0" applyBorder="0" applyAlignment="0" applyProtection="0"/>
    <xf numFmtId="0" fontId="101" fillId="0" borderId="0" applyNumberFormat="0" applyFill="0" applyBorder="0" applyAlignment="0" applyProtection="0"/>
    <xf numFmtId="0" fontId="52" fillId="0" borderId="41" applyNumberFormat="0" applyFill="0" applyAlignment="0" applyProtection="0"/>
    <xf numFmtId="0" fontId="52" fillId="0" borderId="41" applyNumberFormat="0" applyFill="0" applyAlignment="0" applyProtection="0"/>
    <xf numFmtId="184" fontId="80" fillId="80" borderId="9"/>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9"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9"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7" fillId="0" borderId="0"/>
    <xf numFmtId="0" fontId="20" fillId="0" borderId="0"/>
    <xf numFmtId="0" fontId="20" fillId="0" borderId="0"/>
    <xf numFmtId="0" fontId="104" fillId="0" borderId="0"/>
    <xf numFmtId="0" fontId="107" fillId="0" borderId="0"/>
    <xf numFmtId="0" fontId="107"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9" fillId="0" borderId="0"/>
    <xf numFmtId="0" fontId="104" fillId="0" borderId="0"/>
    <xf numFmtId="0" fontId="104"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04" fillId="0" borderId="0"/>
    <xf numFmtId="180" fontId="20" fillId="0" borderId="0"/>
    <xf numFmtId="180" fontId="20" fillId="0" borderId="0"/>
    <xf numFmtId="180" fontId="20" fillId="0" borderId="0"/>
    <xf numFmtId="180" fontId="20"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19"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8" fillId="42" borderId="0" applyNumberFormat="0" applyBorder="0" applyAlignment="0" applyProtection="0"/>
    <xf numFmtId="0" fontId="108" fillId="11" borderId="0" applyNumberFormat="0" applyBorder="0" applyAlignment="0" applyProtection="0"/>
    <xf numFmtId="0" fontId="38" fillId="39" borderId="0" applyNumberFormat="0" applyBorder="0" applyAlignment="0" applyProtection="0"/>
    <xf numFmtId="0" fontId="108" fillId="15" borderId="0" applyNumberFormat="0" applyBorder="0" applyAlignment="0" applyProtection="0"/>
    <xf numFmtId="0" fontId="38" fillId="40" borderId="0" applyNumberFormat="0" applyBorder="0" applyAlignment="0" applyProtection="0"/>
    <xf numFmtId="0" fontId="108" fillId="19" borderId="0" applyNumberFormat="0" applyBorder="0" applyAlignment="0" applyProtection="0"/>
    <xf numFmtId="0" fontId="38" fillId="43" borderId="0" applyNumberFormat="0" applyBorder="0" applyAlignment="0" applyProtection="0"/>
    <xf numFmtId="0" fontId="108" fillId="23" borderId="0" applyNumberFormat="0" applyBorder="0" applyAlignment="0" applyProtection="0"/>
    <xf numFmtId="0" fontId="38" fillId="45" borderId="0" applyNumberFormat="0" applyBorder="0" applyAlignment="0" applyProtection="0"/>
    <xf numFmtId="0" fontId="108" fillId="27" borderId="0" applyNumberFormat="0" applyBorder="0" applyAlignment="0" applyProtection="0"/>
    <xf numFmtId="0" fontId="38" fillId="46" borderId="0" applyNumberFormat="0" applyBorder="0" applyAlignment="0" applyProtection="0"/>
    <xf numFmtId="0" fontId="108" fillId="31" borderId="0" applyNumberFormat="0" applyBorder="0" applyAlignment="0" applyProtection="0"/>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108" fillId="8" borderId="0" applyNumberFormat="0" applyBorder="0" applyAlignment="0" applyProtection="0"/>
    <xf numFmtId="0" fontId="38" fillId="48" borderId="0" applyNumberFormat="0" applyBorder="0" applyAlignment="0" applyProtection="0"/>
    <xf numFmtId="0" fontId="108" fillId="12" borderId="0" applyNumberFormat="0" applyBorder="0" applyAlignment="0" applyProtection="0"/>
    <xf numFmtId="0" fontId="38" fillId="49" borderId="0" applyNumberFormat="0" applyBorder="0" applyAlignment="0" applyProtection="0"/>
    <xf numFmtId="0" fontId="108" fillId="16" borderId="0" applyNumberFormat="0" applyBorder="0" applyAlignment="0" applyProtection="0"/>
    <xf numFmtId="0" fontId="38" fillId="43" borderId="0" applyNumberFormat="0" applyBorder="0" applyAlignment="0" applyProtection="0"/>
    <xf numFmtId="0" fontId="108" fillId="20" borderId="0" applyNumberFormat="0" applyBorder="0" applyAlignment="0" applyProtection="0"/>
    <xf numFmtId="0" fontId="38" fillId="45" borderId="0" applyNumberFormat="0" applyBorder="0" applyAlignment="0" applyProtection="0"/>
    <xf numFmtId="0" fontId="108" fillId="24" borderId="0" applyNumberFormat="0" applyBorder="0" applyAlignment="0" applyProtection="0"/>
    <xf numFmtId="0" fontId="38" fillId="50" borderId="0" applyNumberFormat="0" applyBorder="0" applyAlignment="0" applyProtection="0"/>
    <xf numFmtId="0" fontId="108" fillId="28"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0" fontId="109" fillId="3" borderId="0" applyNumberFormat="0" applyBorder="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1" fillId="52" borderId="13" applyNumberFormat="0" applyAlignment="0" applyProtection="0"/>
    <xf numFmtId="0" fontId="110" fillId="6" borderId="4"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6" fillId="0" borderId="0" applyFont="0" applyFill="0" applyBorder="0" applyAlignment="0" applyProtection="0"/>
    <xf numFmtId="43" fontId="104" fillId="0" borderId="0" applyFont="0" applyFill="0" applyBorder="0" applyAlignment="0" applyProtection="0"/>
    <xf numFmtId="43" fontId="18"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8" fillId="0" borderId="0" applyFon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43" fillId="34" borderId="0" applyNumberFormat="0" applyBorder="0" applyAlignment="0" applyProtection="0"/>
    <xf numFmtId="179" fontId="20" fillId="0" borderId="0" applyFont="0" applyFill="0" applyBorder="0" applyAlignment="0" applyProtection="0"/>
    <xf numFmtId="0" fontId="42" fillId="0" borderId="0" applyNumberFormat="0" applyFill="0" applyBorder="0" applyAlignment="0" applyProtection="0"/>
    <xf numFmtId="0" fontId="111" fillId="0" borderId="0" applyNumberFormat="0" applyFill="0" applyBorder="0" applyAlignment="0" applyProtection="0"/>
    <xf numFmtId="0" fontId="43" fillId="34" borderId="0" applyNumberFormat="0" applyBorder="0" applyAlignment="0" applyProtection="0"/>
    <xf numFmtId="0" fontId="112" fillId="2" borderId="0" applyNumberFormat="0" applyBorder="0" applyAlignment="0" applyProtection="0"/>
    <xf numFmtId="0" fontId="44" fillId="0" borderId="16" applyNumberFormat="0" applyFill="0" applyAlignment="0" applyProtection="0"/>
    <xf numFmtId="0" fontId="113" fillId="0" borderId="30" applyNumberFormat="0" applyFill="0" applyAlignment="0" applyProtection="0"/>
    <xf numFmtId="0" fontId="45" fillId="0" borderId="17" applyNumberFormat="0" applyFill="0" applyAlignment="0" applyProtection="0"/>
    <xf numFmtId="0" fontId="114" fillId="0" borderId="31"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15" fillId="0" borderId="1" applyNumberFormat="0" applyFill="0" applyAlignment="0" applyProtection="0"/>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8" fillId="0" borderId="21" applyNumberFormat="0" applyFill="0" applyAlignment="0" applyProtection="0"/>
    <xf numFmtId="0" fontId="41" fillId="52" borderId="13" applyNumberFormat="0" applyAlignment="0" applyProtection="0"/>
    <xf numFmtId="0" fontId="48" fillId="0" borderId="21" applyNumberFormat="0" applyFill="0" applyAlignment="0" applyProtection="0"/>
    <xf numFmtId="0" fontId="121" fillId="0" borderId="3"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9" fillId="44" borderId="0" applyNumberFormat="0" applyBorder="0" applyAlignment="0" applyProtection="0"/>
    <xf numFmtId="0" fontId="122" fillId="4" borderId="0" applyNumberFormat="0" applyBorder="0" applyAlignment="0" applyProtection="0"/>
    <xf numFmtId="0" fontId="49" fillId="4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104"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04"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7" fontId="19" fillId="0" borderId="0"/>
    <xf numFmtId="197" fontId="19" fillId="0" borderId="0"/>
    <xf numFmtId="0" fontId="104" fillId="0" borderId="0"/>
    <xf numFmtId="0" fontId="104"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9" fillId="0" borderId="0"/>
    <xf numFmtId="197" fontId="19" fillId="0" borderId="0"/>
    <xf numFmtId="0" fontId="104" fillId="0" borderId="0"/>
    <xf numFmtId="0" fontId="1" fillId="0" borderId="0"/>
    <xf numFmtId="0" fontId="19" fillId="0" borderId="0"/>
    <xf numFmtId="196" fontId="19" fillId="0" borderId="0"/>
    <xf numFmtId="0" fontId="18"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0" fontId="123" fillId="0" borderId="0"/>
    <xf numFmtId="0" fontId="20" fillId="0" borderId="0"/>
    <xf numFmtId="0" fontId="1" fillId="0" borderId="0"/>
    <xf numFmtId="0" fontId="18" fillId="0" borderId="0"/>
    <xf numFmtId="0" fontId="20" fillId="0" borderId="0"/>
    <xf numFmtId="196" fontId="20" fillId="0" borderId="0"/>
    <xf numFmtId="0" fontId="1" fillId="0" borderId="0"/>
    <xf numFmtId="0" fontId="1" fillId="0" borderId="0"/>
    <xf numFmtId="0" fontId="1" fillId="0" borderId="0"/>
    <xf numFmtId="0" fontId="123" fillId="0" borderId="0"/>
    <xf numFmtId="196" fontId="20" fillId="0" borderId="0"/>
    <xf numFmtId="196" fontId="20" fillId="0" borderId="0"/>
    <xf numFmtId="196" fontId="20" fillId="0" borderId="0"/>
    <xf numFmtId="196" fontId="20" fillId="0" borderId="0"/>
    <xf numFmtId="0" fontId="19"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20" fillId="0" borderId="0"/>
    <xf numFmtId="197" fontId="20" fillId="0" borderId="0"/>
    <xf numFmtId="0" fontId="19" fillId="0" borderId="0"/>
    <xf numFmtId="0" fontId="104" fillId="0" borderId="0"/>
    <xf numFmtId="0" fontId="104" fillId="0" borderId="0"/>
    <xf numFmtId="0" fontId="104" fillId="0" borderId="0"/>
    <xf numFmtId="0" fontId="104" fillId="0" borderId="0"/>
    <xf numFmtId="0" fontId="104" fillId="0" borderId="0"/>
    <xf numFmtId="0" fontId="106"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30" fillId="0" borderId="0"/>
    <xf numFmtId="0" fontId="104" fillId="0" borderId="0"/>
    <xf numFmtId="196" fontId="20" fillId="0" borderId="0"/>
    <xf numFmtId="196" fontId="20" fillId="0" borderId="0"/>
    <xf numFmtId="0" fontId="104" fillId="0" borderId="0"/>
    <xf numFmtId="0" fontId="104" fillId="0" borderId="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20" fillId="0" borderId="0"/>
    <xf numFmtId="0" fontId="20"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104" fillId="0" borderId="0"/>
    <xf numFmtId="0" fontId="18" fillId="0" borderId="0"/>
    <xf numFmtId="0" fontId="104" fillId="0" borderId="0"/>
    <xf numFmtId="0" fontId="104"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196"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2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124" fillId="5" borderId="2"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126" fillId="0" borderId="6" applyNumberFormat="0" applyFill="0" applyAlignment="0" applyProtection="0"/>
    <xf numFmtId="0" fontId="51" fillId="0" borderId="0" applyNumberFormat="0" applyFill="0" applyBorder="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39" fillId="33" borderId="0" applyNumberFormat="0" applyBorder="0" applyAlignment="0" applyProtection="0"/>
    <xf numFmtId="43" fontId="1" fillId="0" borderId="0" applyFont="0" applyFill="0" applyBorder="0" applyAlignment="0" applyProtection="0"/>
    <xf numFmtId="0" fontId="1" fillId="0" borderId="0"/>
    <xf numFmtId="9" fontId="128" fillId="0" borderId="0">
      <alignment horizontal="right"/>
    </xf>
    <xf numFmtId="0" fontId="20" fillId="0" borderId="0"/>
    <xf numFmtId="0" fontId="93" fillId="0" borderId="0"/>
    <xf numFmtId="0" fontId="104" fillId="0" borderId="0"/>
    <xf numFmtId="0" fontId="20" fillId="0" borderId="0"/>
    <xf numFmtId="0" fontId="93"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199" fontId="129" fillId="0" borderId="0">
      <alignment horizontal="right" vertical="top"/>
    </xf>
    <xf numFmtId="0" fontId="130" fillId="55"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3" borderId="0" applyNumberFormat="0" applyBorder="0" applyAlignment="0" applyProtection="0"/>
    <xf numFmtId="0" fontId="19" fillId="91" borderId="0" applyNumberFormat="0" applyBorder="0" applyAlignment="0" applyProtection="0"/>
    <xf numFmtId="0" fontId="19" fillId="83" borderId="0" applyNumberFormat="0" applyBorder="0" applyAlignment="0" applyProtection="0"/>
    <xf numFmtId="0" fontId="19" fillId="83"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30" fillId="5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94"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9"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95"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9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9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22" fillId="0" borderId="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45"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38" fillId="48"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49"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50"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22" fillId="0" borderId="0"/>
    <xf numFmtId="1" fontId="20" fillId="107" borderId="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200" fontId="22" fillId="0" borderId="0"/>
    <xf numFmtId="201" fontId="22" fillId="0" borderId="0"/>
    <xf numFmtId="202" fontId="22" fillId="0" borderId="0"/>
    <xf numFmtId="200"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3" fontId="22" fillId="0" borderId="0"/>
    <xf numFmtId="204" fontId="22" fillId="0" borderId="0"/>
    <xf numFmtId="205" fontId="22" fillId="0" borderId="0"/>
    <xf numFmtId="203"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6" fontId="22" fillId="0" borderId="0">
      <alignment horizontal="right"/>
      <protection locked="0"/>
    </xf>
    <xf numFmtId="207" fontId="22" fillId="0" borderId="0">
      <alignment horizontal="right"/>
      <protection locked="0"/>
    </xf>
    <xf numFmtId="208" fontId="22" fillId="0" borderId="0"/>
    <xf numFmtId="209" fontId="22" fillId="0" borderId="0"/>
    <xf numFmtId="210" fontId="22" fillId="0" borderId="0"/>
    <xf numFmtId="208"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11" fillId="6" borderId="4" applyNumberFormat="0" applyAlignment="0" applyProtection="0"/>
    <xf numFmtId="0" fontId="133" fillId="108" borderId="4"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181" fontId="14" fillId="0" borderId="0" applyFont="0" applyFill="0" applyBorder="0" applyAlignment="0" applyProtection="0"/>
    <xf numFmtId="44" fontId="1" fillId="0" borderId="0" applyFont="0" applyFill="0" applyBorder="0" applyAlignment="0" applyProtection="0"/>
    <xf numFmtId="44" fontId="10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9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9" fontId="134" fillId="98" borderId="0">
      <alignment vertical="center"/>
    </xf>
    <xf numFmtId="49" fontId="134" fillId="99" borderId="0">
      <alignment vertical="center"/>
    </xf>
    <xf numFmtId="200"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43">
      <protection locked="0"/>
    </xf>
    <xf numFmtId="203"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43">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49" fontId="22" fillId="80" borderId="43">
      <alignment horizontal="left" vertical="top" wrapText="1"/>
      <protection locked="0"/>
    </xf>
    <xf numFmtId="49" fontId="22" fillId="80" borderId="43">
      <alignment horizontal="left" vertical="top" wrapText="1"/>
      <protection locked="0"/>
    </xf>
    <xf numFmtId="49" fontId="22" fillId="80" borderId="43">
      <alignment horizontal="left" vertical="top" wrapText="1"/>
      <protection locked="0"/>
    </xf>
    <xf numFmtId="208"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43">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211" fontId="22" fillId="60" borderId="43">
      <alignment horizontal="left" indent="1"/>
      <protection locked="0"/>
    </xf>
    <xf numFmtId="211" fontId="22" fillId="60" borderId="43">
      <alignment horizontal="left" indent="1"/>
      <protection locked="0"/>
    </xf>
    <xf numFmtId="211" fontId="22" fillId="60" borderId="43">
      <alignment horizontal="left" indent="1"/>
      <protection locked="0"/>
    </xf>
    <xf numFmtId="2" fontId="135" fillId="60" borderId="9">
      <protection locked="0"/>
    </xf>
    <xf numFmtId="16" fontId="30" fillId="0" borderId="0" applyFont="0" applyFill="0" applyBorder="0" applyAlignment="0" applyProtection="0"/>
    <xf numFmtId="15" fontId="30" fillId="0" borderId="0" applyFont="0" applyFill="0" applyBorder="0" applyAlignment="0" applyProtection="0"/>
    <xf numFmtId="17" fontId="30" fillId="0" borderId="0" applyFont="0" applyFill="0" applyBorder="0" applyAlignment="0" applyProtection="0"/>
    <xf numFmtId="212" fontId="15" fillId="78" borderId="0">
      <alignment horizontal="right"/>
    </xf>
    <xf numFmtId="15" fontId="136" fillId="109" borderId="0" applyNumberFormat="0" applyFont="0" applyBorder="0" applyAlignment="0" applyProtection="0"/>
    <xf numFmtId="199" fontId="137" fillId="74" borderId="0">
      <alignment horizontal="right"/>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4" fillId="110" borderId="0">
      <alignment horizontal="right" vertical="center"/>
    </xf>
    <xf numFmtId="0" fontId="134" fillId="89" borderId="0">
      <alignment horizontal="right" vertical="center"/>
    </xf>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80" borderId="0" applyNumberFormat="0" applyBorder="0" applyAlignment="0" applyProtection="0"/>
    <xf numFmtId="0" fontId="85" fillId="111"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3" borderId="0">
      <alignment vertical="center"/>
    </xf>
    <xf numFmtId="0" fontId="138" fillId="113" borderId="0">
      <alignment vertical="center"/>
    </xf>
    <xf numFmtId="0" fontId="138" fillId="113" borderId="0">
      <alignment vertical="center"/>
    </xf>
    <xf numFmtId="0" fontId="139" fillId="0" borderId="44" applyNumberFormat="0" applyFill="0" applyAlignment="0" applyProtection="0"/>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40" fillId="53" borderId="0">
      <alignment vertical="center"/>
    </xf>
    <xf numFmtId="0" fontId="140" fillId="53" borderId="0">
      <alignment vertical="center"/>
    </xf>
    <xf numFmtId="0" fontId="141" fillId="0" borderId="45" applyNumberFormat="0" applyFill="0" applyAlignment="0" applyProtection="0"/>
    <xf numFmtId="0" fontId="140" fillId="53" borderId="0">
      <alignment vertical="center"/>
    </xf>
    <xf numFmtId="0" fontId="140" fillId="53" borderId="0">
      <alignment vertical="center"/>
    </xf>
    <xf numFmtId="0" fontId="140" fillId="53" borderId="0">
      <alignment vertical="center"/>
    </xf>
    <xf numFmtId="0" fontId="140" fillId="53" borderId="0">
      <alignment vertical="center"/>
    </xf>
    <xf numFmtId="0" fontId="142" fillId="0" borderId="0"/>
    <xf numFmtId="0" fontId="142" fillId="0" borderId="0"/>
    <xf numFmtId="0" fontId="143" fillId="0" borderId="11" applyNumberFormat="0" applyFill="0" applyAlignment="0" applyProtection="0"/>
    <xf numFmtId="0" fontId="142" fillId="0" borderId="0"/>
    <xf numFmtId="0" fontId="142" fillId="0" borderId="0"/>
    <xf numFmtId="0" fontId="142" fillId="0" borderId="0"/>
    <xf numFmtId="0" fontId="142" fillId="0" borderId="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3" fillId="0" borderId="0" applyNumberFormat="0" applyFill="0" applyBorder="0" applyAlignment="0" applyProtection="0"/>
    <xf numFmtId="1" fontId="20" fillId="60" borderId="0"/>
    <xf numFmtId="1" fontId="20" fillId="60" borderId="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47" fillId="97" borderId="12" applyNumberFormat="0" applyAlignment="0" applyProtection="0"/>
    <xf numFmtId="1" fontId="20" fillId="60" borderId="0"/>
    <xf numFmtId="1" fontId="20" fillId="60" borderId="0"/>
    <xf numFmtId="1" fontId="20" fillId="60" borderId="0"/>
    <xf numFmtId="1" fontId="20" fillId="60" borderId="0"/>
    <xf numFmtId="0" fontId="151" fillId="0" borderId="0">
      <alignment horizontal="left" indent="1"/>
    </xf>
    <xf numFmtId="0" fontId="152" fillId="0" borderId="0"/>
    <xf numFmtId="0" fontId="153" fillId="0" borderId="0">
      <alignment horizontal="center"/>
    </xf>
    <xf numFmtId="0" fontId="25" fillId="0" borderId="20" applyProtection="0">
      <alignment horizontal="center"/>
      <protection locked="0"/>
    </xf>
    <xf numFmtId="0" fontId="154" fillId="0" borderId="46" applyNumberFormat="0" applyFill="0" applyAlignment="0" applyProtection="0"/>
    <xf numFmtId="0" fontId="154" fillId="0" borderId="46"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34" fillId="114" borderId="0">
      <alignment horizontal="right" vertical="center"/>
    </xf>
    <xf numFmtId="0" fontId="134" fillId="90" borderId="0">
      <alignment horizontal="right" vertical="center"/>
    </xf>
    <xf numFmtId="49" fontId="155" fillId="98" borderId="0">
      <alignment horizontal="centerContinuous" vertical="center"/>
    </xf>
    <xf numFmtId="49" fontId="155" fillId="99" borderId="0">
      <alignment horizontal="centerContinuous" vertical="center"/>
    </xf>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20" fillId="0" borderId="0" applyNumberFormat="0" applyFont="0" applyFill="0" applyBorder="0" applyAlignment="0" applyProtection="0"/>
    <xf numFmtId="0" fontId="1" fillId="0" borderId="0"/>
    <xf numFmtId="0" fontId="18" fillId="0" borderId="0"/>
    <xf numFmtId="0" fontId="18" fillId="0" borderId="0"/>
    <xf numFmtId="0" fontId="20" fillId="0" borderId="0" applyNumberFormat="0" applyFont="0" applyFill="0" applyBorder="0" applyAlignment="0" applyProtection="0"/>
    <xf numFmtId="0" fontId="105" fillId="0" borderId="0"/>
    <xf numFmtId="214" fontId="30" fillId="0" borderId="0" applyFont="0" applyFill="0" applyBorder="0" applyAlignment="0" applyProtection="0"/>
    <xf numFmtId="215" fontId="30" fillId="0" borderId="0" applyFont="0" applyFill="0" applyBorder="0" applyAlignment="0" applyProtection="0"/>
    <xf numFmtId="216" fontId="30" fillId="0" borderId="0" applyFont="0" applyFill="0" applyBorder="0" applyAlignment="0" applyProtection="0"/>
    <xf numFmtId="217" fontId="30" fillId="0" borderId="0" applyFont="0" applyFill="0" applyBorder="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156" fillId="78" borderId="0">
      <alignment horizontal="left" vertical="top" wrapText="1"/>
    </xf>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9" fontId="1" fillId="0" borderId="0" applyFont="0" applyFill="0" applyBorder="0" applyAlignment="0" applyProtection="0"/>
    <xf numFmtId="9" fontId="30" fillId="0" borderId="0" applyFont="0" applyFill="0" applyBorder="0" applyAlignment="0" applyProtection="0"/>
    <xf numFmtId="200" fontId="157" fillId="0" borderId="0">
      <alignment horizontal="right"/>
    </xf>
    <xf numFmtId="199" fontId="158" fillId="74" borderId="0">
      <alignment horizontal="right"/>
    </xf>
    <xf numFmtId="0" fontId="134" fillId="98" borderId="0">
      <alignment horizontal="right" vertical="center"/>
    </xf>
    <xf numFmtId="0" fontId="134" fillId="99" borderId="0">
      <alignment horizontal="right" vertical="center"/>
    </xf>
    <xf numFmtId="0" fontId="159" fillId="0" borderId="47" applyFill="0" applyProtection="0">
      <alignment horizontal="right" wrapText="1"/>
    </xf>
    <xf numFmtId="0" fontId="159" fillId="0" borderId="0" applyFill="0" applyProtection="0">
      <alignment wrapText="1"/>
    </xf>
    <xf numFmtId="0" fontId="31" fillId="57" borderId="8">
      <alignment horizontal="center"/>
    </xf>
    <xf numFmtId="0" fontId="31" fillId="57" borderId="8">
      <alignment horizontal="center"/>
    </xf>
    <xf numFmtId="0" fontId="31" fillId="57" borderId="8">
      <alignment horizontal="center"/>
    </xf>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198" fontId="20" fillId="0" borderId="0" applyAlignment="0">
      <alignment horizontal="left"/>
    </xf>
    <xf numFmtId="0" fontId="1" fillId="0" borderId="0"/>
    <xf numFmtId="49" fontId="30" fillId="0" borderId="0" applyFont="0" applyFill="0" applyBorder="0" applyAlignment="0" applyProtection="0"/>
    <xf numFmtId="0" fontId="1" fillId="0" borderId="0"/>
    <xf numFmtId="0" fontId="34" fillId="78" borderId="0"/>
    <xf numFmtId="0" fontId="34" fillId="74" borderId="0"/>
    <xf numFmtId="0" fontId="1" fillId="0" borderId="0"/>
    <xf numFmtId="0" fontId="15" fillId="78" borderId="0">
      <alignment horizontal="left"/>
    </xf>
    <xf numFmtId="0" fontId="15" fillId="74" borderId="0">
      <alignment horizontal="left"/>
    </xf>
    <xf numFmtId="0" fontId="1" fillId="0" borderId="0"/>
    <xf numFmtId="0" fontId="15" fillId="78" borderId="0">
      <alignment horizontal="left" indent="1"/>
    </xf>
    <xf numFmtId="0" fontId="15" fillId="74" borderId="0">
      <alignment horizontal="left" indent="1"/>
    </xf>
    <xf numFmtId="0" fontId="1" fillId="0" borderId="0"/>
    <xf numFmtId="0" fontId="15" fillId="78" borderId="0">
      <alignment horizontal="left" vertical="center" indent="2"/>
    </xf>
    <xf numFmtId="0" fontId="15" fillId="74" borderId="0">
      <alignment horizontal="left" vertical="center" indent="2"/>
    </xf>
    <xf numFmtId="0" fontId="1" fillId="0" borderId="0"/>
    <xf numFmtId="49" fontId="160" fillId="0" borderId="0" applyFill="0" applyBorder="0" applyProtection="0">
      <alignment horizontal="center" vertical="top"/>
    </xf>
    <xf numFmtId="0" fontId="1" fillId="0" borderId="0"/>
    <xf numFmtId="0" fontId="29" fillId="0" borderId="0">
      <alignment horizontal="center"/>
    </xf>
    <xf numFmtId="0" fontId="1" fillId="0" borderId="0"/>
    <xf numFmtId="15" fontId="29" fillId="0" borderId="0">
      <alignment horizontal="center"/>
    </xf>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49" fontId="70" fillId="74" borderId="0"/>
    <xf numFmtId="0" fontId="1" fillId="0" borderId="0"/>
    <xf numFmtId="0" fontId="163" fillId="0" borderId="0" applyNumberFormat="0" applyFill="0" applyBorder="0" applyAlignment="0" applyProtection="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38" fillId="107" borderId="48"/>
    <xf numFmtId="0" fontId="1" fillId="0" borderId="0"/>
    <xf numFmtId="0" fontId="88" fillId="107" borderId="49">
      <alignment horizontal="left"/>
    </xf>
    <xf numFmtId="0" fontId="1" fillId="0" borderId="0"/>
    <xf numFmtId="22" fontId="22" fillId="53" borderId="49">
      <alignment vertical="center"/>
    </xf>
    <xf numFmtId="0" fontId="1" fillId="0" borderId="0"/>
    <xf numFmtId="0" fontId="22" fillId="53" borderId="49">
      <alignment horizontal="left" vertical="top" wrapText="1"/>
    </xf>
    <xf numFmtId="0" fontId="1" fillId="0" borderId="0"/>
    <xf numFmtId="0" fontId="22" fillId="53" borderId="50"/>
    <xf numFmtId="0" fontId="1" fillId="0" borderId="0"/>
    <xf numFmtId="0" fontId="22" fillId="53" borderId="5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4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49" fontId="160" fillId="40" borderId="0" applyNumberFormat="0" applyFont="0" applyBorder="0" applyAlignment="0" applyProtection="0">
      <alignment horizontal="center"/>
    </xf>
    <xf numFmtId="49" fontId="160" fillId="70" borderId="0" applyNumberFormat="0" applyFont="0" applyBorder="0" applyAlignment="0" applyProtection="0">
      <alignment horizontal="center"/>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218" fontId="136" fillId="0" borderId="0" applyFont="0" applyFill="0" applyBorder="0" applyAlignment="0" applyProtection="0"/>
    <xf numFmtId="0" fontId="1" fillId="0" borderId="0"/>
    <xf numFmtId="0" fontId="20" fillId="80" borderId="9">
      <protection locked="0"/>
    </xf>
    <xf numFmtId="195" fontId="20" fillId="0" borderId="33">
      <protection locked="0"/>
    </xf>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4" fontId="80" fillId="80" borderId="9"/>
    <xf numFmtId="184" fontId="80" fillId="80" borderId="9"/>
    <xf numFmtId="184" fontId="80" fillId="80" borderId="9"/>
    <xf numFmtId="184" fontId="80" fillId="80" borderId="9"/>
    <xf numFmtId="184" fontId="80" fillId="80" borderId="9"/>
    <xf numFmtId="183" fontId="82" fillId="60" borderId="9"/>
    <xf numFmtId="184" fontId="80" fillId="80" borderId="9"/>
    <xf numFmtId="195" fontId="20" fillId="0" borderId="33">
      <protection locked="0"/>
    </xf>
    <xf numFmtId="187" fontId="80" fillId="70" borderId="9" applyNumberFormat="0" applyFont="0" applyBorder="0" applyAlignment="0"/>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4" fontId="83" fillId="58" borderId="9"/>
    <xf numFmtId="0" fontId="93" fillId="42" borderId="36" applyNumberFormat="0" applyFont="0" applyAlignment="0" applyProtection="0"/>
    <xf numFmtId="0" fontId="93" fillId="42" borderId="36" applyNumberFormat="0" applyFont="0" applyAlignment="0" applyProtection="0"/>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0" fontId="50" fillId="81" borderId="23" applyNumberFormat="0" applyAlignment="0" applyProtection="0"/>
    <xf numFmtId="0" fontId="50" fillId="81" borderId="23" applyNumberFormat="0" applyAlignment="0" applyProtection="0"/>
    <xf numFmtId="0" fontId="59" fillId="53" borderId="9">
      <alignment horizontal="center" vertical="center" wrapText="1"/>
    </xf>
    <xf numFmtId="0" fontId="52" fillId="0" borderId="41" applyNumberFormat="0" applyFill="0" applyAlignment="0" applyProtection="0"/>
    <xf numFmtId="0" fontId="52" fillId="0" borderId="41" applyNumberFormat="0" applyFill="0" applyAlignment="0" applyProtection="0"/>
    <xf numFmtId="0" fontId="1" fillId="0" borderId="0"/>
    <xf numFmtId="0" fontId="1" fillId="0" borderId="0"/>
    <xf numFmtId="0" fontId="18" fillId="0" borderId="0"/>
    <xf numFmtId="0" fontId="93" fillId="42" borderId="36" applyNumberFormat="0" applyFont="0" applyAlignment="0" applyProtection="0"/>
    <xf numFmtId="0" fontId="93" fillId="42" borderId="36" applyNumberFormat="0" applyFont="0" applyAlignment="0" applyProtection="0"/>
    <xf numFmtId="0" fontId="50" fillId="81" borderId="23" applyNumberFormat="0" applyAlignment="0" applyProtection="0"/>
    <xf numFmtId="0" fontId="50" fillId="81" borderId="23" applyNumberFormat="0" applyAlignment="0" applyProtection="0"/>
    <xf numFmtId="0" fontId="52" fillId="0" borderId="41" applyNumberFormat="0" applyFill="0" applyAlignment="0" applyProtection="0"/>
    <xf numFmtId="0" fontId="52" fillId="0" borderId="41" applyNumberFormat="0" applyFill="0" applyAlignment="0" applyProtection="0"/>
    <xf numFmtId="0" fontId="20" fillId="80" borderId="9">
      <protection locked="0"/>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4" fontId="80" fillId="80" borderId="9"/>
    <xf numFmtId="184" fontId="80" fillId="80" borderId="9"/>
    <xf numFmtId="184" fontId="80" fillId="80" borderId="9"/>
    <xf numFmtId="184" fontId="80" fillId="80" borderId="9"/>
    <xf numFmtId="184" fontId="80" fillId="80" borderId="9"/>
    <xf numFmtId="184" fontId="80" fillId="80" borderId="9"/>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80" borderId="9">
      <protection locked="0"/>
    </xf>
    <xf numFmtId="0" fontId="20" fillId="80" borderId="9">
      <protection locked="0"/>
    </xf>
    <xf numFmtId="184" fontId="80" fillId="80" borderId="9"/>
    <xf numFmtId="184" fontId="80" fillId="80" borderId="9"/>
    <xf numFmtId="184" fontId="80" fillId="80" borderId="9"/>
    <xf numFmtId="184" fontId="80" fillId="80" borderId="9"/>
    <xf numFmtId="184" fontId="80" fillId="80" borderId="9"/>
    <xf numFmtId="184" fontId="80" fillId="80" borderId="9"/>
    <xf numFmtId="41"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0" fontId="18" fillId="0" borderId="0"/>
    <xf numFmtId="184" fontId="80" fillId="80" borderId="9"/>
    <xf numFmtId="184" fontId="80" fillId="80" borderId="9"/>
    <xf numFmtId="184" fontId="80" fillId="80" borderId="9"/>
    <xf numFmtId="184" fontId="80" fillId="80" borderId="9"/>
    <xf numFmtId="184" fontId="80" fillId="80" borderId="9"/>
    <xf numFmtId="184" fontId="80" fillId="80" borderId="9"/>
    <xf numFmtId="43" fontId="20"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9" fontId="18" fillId="0" borderId="0" applyFont="0" applyFill="0" applyBorder="0" applyAlignment="0" applyProtection="0"/>
    <xf numFmtId="9" fontId="2" fillId="0" borderId="0" applyFont="0" applyFill="0" applyBorder="0" applyAlignment="0" applyProtection="0"/>
  </cellStyleXfs>
  <cellXfs count="117">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0" fillId="0" borderId="0" xfId="0" applyAlignment="1">
      <alignment horizontal="center"/>
    </xf>
    <xf numFmtId="0" fontId="164"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9" fontId="128" fillId="0" borderId="0" xfId="20526">
      <alignment horizontal="right"/>
    </xf>
    <xf numFmtId="0" fontId="6" fillId="0" borderId="0" xfId="0" applyFont="1" applyAlignment="1">
      <alignment horizontal="left" vertical="center" wrapText="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xf>
    <xf numFmtId="0" fontId="6" fillId="0" borderId="0" xfId="0" applyFont="1" applyAlignment="1">
      <alignment horizontal="left" vertical="center"/>
    </xf>
    <xf numFmtId="165" fontId="9" fillId="0" borderId="0" xfId="0" applyNumberFormat="1" applyFont="1" applyAlignment="1">
      <alignment horizontal="right" vertical="top" wrapText="1" readingOrder="1"/>
    </xf>
    <xf numFmtId="0" fontId="167" fillId="0" borderId="0" xfId="0" applyFont="1" applyAlignment="1">
      <alignment wrapText="1"/>
    </xf>
    <xf numFmtId="0" fontId="168" fillId="0" borderId="0" xfId="545" applyFont="1" applyAlignment="1">
      <alignment horizontal="left" wrapText="1"/>
    </xf>
    <xf numFmtId="0" fontId="10" fillId="0" borderId="0" xfId="0" applyFont="1" applyAlignment="1">
      <alignment readingOrder="1"/>
    </xf>
    <xf numFmtId="3" fontId="6" fillId="0" borderId="0" xfId="0" applyNumberFormat="1" applyFont="1" applyAlignment="1">
      <alignment horizontal="right" wrapText="1"/>
    </xf>
    <xf numFmtId="0" fontId="4" fillId="0" borderId="0" xfId="0" applyFont="1" applyAlignment="1">
      <alignment vertical="top" wrapText="1"/>
    </xf>
    <xf numFmtId="0" fontId="7" fillId="0" borderId="0" xfId="4" applyAlignment="1">
      <alignment vertical="top" wrapText="1"/>
    </xf>
    <xf numFmtId="0" fontId="170"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7" fillId="0" borderId="0" xfId="4" applyFill="1" applyAlignment="1">
      <alignment wrapText="1"/>
    </xf>
    <xf numFmtId="165" fontId="9" fillId="0" borderId="53" xfId="0" applyNumberFormat="1" applyFont="1" applyBorder="1" applyAlignment="1">
      <alignment horizontal="right" vertical="top" wrapText="1" readingOrder="1"/>
    </xf>
    <xf numFmtId="3" fontId="6" fillId="0" borderId="0" xfId="0" applyNumberFormat="1" applyFont="1" applyAlignment="1">
      <alignment horizontal="right"/>
    </xf>
    <xf numFmtId="1" fontId="6" fillId="0" borderId="0" xfId="0" applyNumberFormat="1" applyFont="1" applyAlignment="1">
      <alignment horizontal="right"/>
    </xf>
    <xf numFmtId="0" fontId="6" fillId="0" borderId="0" xfId="0" applyFont="1" applyAlignment="1">
      <alignment horizontal="left" wrapText="1"/>
    </xf>
    <xf numFmtId="0" fontId="7" fillId="0" borderId="0" xfId="4"/>
    <xf numFmtId="0" fontId="172" fillId="0" borderId="0" xfId="0" applyFont="1" applyAlignment="1">
      <alignment horizontal="left" wrapText="1" readingOrder="1"/>
    </xf>
    <xf numFmtId="0" fontId="172" fillId="0" borderId="54" xfId="0" applyFont="1" applyBorder="1" applyAlignment="1">
      <alignment horizontal="left" wrapText="1" readingOrder="1"/>
    </xf>
    <xf numFmtId="3" fontId="6" fillId="0" borderId="56" xfId="0" applyNumberFormat="1" applyFont="1" applyBorder="1" applyAlignment="1">
      <alignment horizontal="right"/>
    </xf>
    <xf numFmtId="3" fontId="6" fillId="0" borderId="54" xfId="0" applyNumberFormat="1" applyFont="1" applyBorder="1" applyAlignment="1">
      <alignment horizontal="right"/>
    </xf>
    <xf numFmtId="0" fontId="0" fillId="115" borderId="0" xfId="0" applyFill="1"/>
    <xf numFmtId="0" fontId="173" fillId="115" borderId="0" xfId="0" applyFont="1" applyFill="1" applyAlignment="1">
      <alignment vertical="top" wrapText="1"/>
    </xf>
    <xf numFmtId="0" fontId="174" fillId="115" borderId="0" xfId="0" applyFont="1" applyFill="1" applyAlignment="1">
      <alignment vertical="center"/>
    </xf>
    <xf numFmtId="0" fontId="174" fillId="115" borderId="0" xfId="0" applyFont="1" applyFill="1"/>
    <xf numFmtId="0" fontId="175" fillId="115" borderId="0" xfId="0" applyFont="1" applyFill="1" applyAlignment="1">
      <alignment horizontal="left"/>
    </xf>
    <xf numFmtId="0" fontId="176" fillId="115" borderId="0" xfId="0" applyFont="1" applyFill="1" applyAlignment="1">
      <alignment vertical="center"/>
    </xf>
    <xf numFmtId="0" fontId="0" fillId="115" borderId="0" xfId="0" applyFill="1" applyAlignment="1">
      <alignment horizontal="left"/>
    </xf>
    <xf numFmtId="0" fontId="179" fillId="115" borderId="0" xfId="0" applyFont="1" applyFill="1"/>
    <xf numFmtId="0" fontId="180" fillId="115" borderId="0" xfId="0" applyFont="1" applyFill="1"/>
    <xf numFmtId="0" fontId="181" fillId="115" borderId="0" xfId="0" applyFont="1" applyFill="1"/>
    <xf numFmtId="0" fontId="104" fillId="115" borderId="0" xfId="0" applyFont="1" applyFill="1"/>
    <xf numFmtId="0" fontId="182" fillId="115" borderId="0" xfId="0" applyFont="1" applyFill="1"/>
    <xf numFmtId="0" fontId="179" fillId="115" borderId="0" xfId="0" applyFont="1" applyFill="1" applyAlignment="1">
      <alignment horizontal="left"/>
    </xf>
    <xf numFmtId="0" fontId="0" fillId="115" borderId="0" xfId="0" applyFill="1" applyAlignment="1">
      <alignment horizontal="center" vertical="center"/>
    </xf>
    <xf numFmtId="0" fontId="8" fillId="115" borderId="0" xfId="0" applyFont="1" applyFill="1"/>
    <xf numFmtId="0" fontId="183" fillId="115" borderId="0" xfId="0" applyFont="1" applyFill="1"/>
    <xf numFmtId="0" fontId="185" fillId="115" borderId="0" xfId="0" applyFont="1" applyFill="1" applyAlignment="1">
      <alignment horizontal="left"/>
    </xf>
    <xf numFmtId="0" fontId="185" fillId="115" borderId="0" xfId="0" applyFont="1" applyFill="1"/>
    <xf numFmtId="0" fontId="186" fillId="115" borderId="0" xfId="0" applyFont="1" applyFill="1"/>
    <xf numFmtId="0" fontId="188" fillId="115" borderId="0" xfId="0" applyFont="1" applyFill="1"/>
    <xf numFmtId="0" fontId="189" fillId="115" borderId="0" xfId="0" applyFont="1" applyFill="1"/>
    <xf numFmtId="0" fontId="190" fillId="115" borderId="0" xfId="0" applyFont="1" applyFill="1"/>
    <xf numFmtId="0" fontId="191" fillId="115" borderId="0" xfId="0" applyFont="1" applyFill="1"/>
    <xf numFmtId="0" fontId="192" fillId="116" borderId="0" xfId="0" applyFont="1" applyFill="1"/>
    <xf numFmtId="0" fontId="0" fillId="0" borderId="0" xfId="0" applyAlignment="1">
      <alignment horizontal="left"/>
    </xf>
    <xf numFmtId="0" fontId="0" fillId="116" borderId="0" xfId="0" applyFill="1"/>
    <xf numFmtId="0" fontId="0" fillId="0" borderId="57" xfId="0" applyBorder="1"/>
    <xf numFmtId="2" fontId="0" fillId="0" borderId="58" xfId="0" applyNumberFormat="1" applyBorder="1"/>
    <xf numFmtId="0" fontId="0" fillId="0" borderId="58" xfId="0" applyBorder="1"/>
    <xf numFmtId="2" fontId="0" fillId="0" borderId="0" xfId="0" applyNumberFormat="1"/>
    <xf numFmtId="2" fontId="0" fillId="0" borderId="0" xfId="55011" applyNumberFormat="1" applyFont="1"/>
    <xf numFmtId="9" fontId="0" fillId="0" borderId="0" xfId="55011" applyFont="1"/>
    <xf numFmtId="0" fontId="0" fillId="0" borderId="0" xfId="0" pivotButton="1"/>
    <xf numFmtId="0" fontId="194" fillId="0" borderId="0" xfId="0" applyFont="1" applyAlignment="1">
      <alignment horizontal="center" vertical="top"/>
    </xf>
    <xf numFmtId="0" fontId="195" fillId="117" borderId="60" xfId="0" applyFont="1" applyFill="1" applyBorder="1" applyAlignment="1">
      <alignment horizontal="center" vertical="top"/>
    </xf>
    <xf numFmtId="0" fontId="195" fillId="117" borderId="61" xfId="0" applyFont="1" applyFill="1" applyBorder="1" applyAlignment="1">
      <alignment horizontal="center" vertical="top"/>
    </xf>
    <xf numFmtId="165" fontId="195" fillId="117" borderId="61" xfId="0" applyNumberFormat="1" applyFont="1" applyFill="1" applyBorder="1" applyAlignment="1">
      <alignment horizontal="center" vertical="top" wrapText="1" readingOrder="1"/>
    </xf>
    <xf numFmtId="165" fontId="195" fillId="117" borderId="62" xfId="0" applyNumberFormat="1" applyFont="1" applyFill="1" applyBorder="1" applyAlignment="1">
      <alignment horizontal="center" vertical="top" wrapText="1" readingOrder="1"/>
    </xf>
    <xf numFmtId="165" fontId="195" fillId="117" borderId="63" xfId="0" applyNumberFormat="1" applyFont="1" applyFill="1" applyBorder="1" applyAlignment="1">
      <alignment horizontal="center" vertical="top" wrapText="1" readingOrder="1"/>
    </xf>
    <xf numFmtId="0" fontId="0" fillId="0" borderId="0" xfId="0" applyAlignment="1">
      <alignment horizontal="center" vertical="center"/>
    </xf>
    <xf numFmtId="0" fontId="193" fillId="116" borderId="59" xfId="0" applyFont="1" applyFill="1" applyBorder="1"/>
    <xf numFmtId="3" fontId="6" fillId="0" borderId="53" xfId="0" applyNumberFormat="1" applyFont="1" applyBorder="1" applyAlignment="1">
      <alignment horizontal="right" wrapText="1"/>
    </xf>
    <xf numFmtId="3" fontId="0" fillId="0" borderId="0" xfId="0" applyNumberFormat="1" applyAlignment="1">
      <alignment horizontal="center" vertical="center"/>
    </xf>
    <xf numFmtId="0" fontId="3" fillId="0" borderId="0" xfId="1" applyFill="1" applyAlignment="1">
      <alignment horizontal="left" readingOrder="1"/>
    </xf>
    <xf numFmtId="3" fontId="0" fillId="0" borderId="0" xfId="0" applyNumberFormat="1"/>
    <xf numFmtId="0" fontId="196" fillId="0" borderId="0" xfId="0" applyFont="1"/>
    <xf numFmtId="3" fontId="6" fillId="0" borderId="53" xfId="0" applyNumberFormat="1" applyFont="1" applyBorder="1" applyAlignment="1">
      <alignment horizontal="right" wrapText="1" readingOrder="1"/>
    </xf>
    <xf numFmtId="3" fontId="6" fillId="0" borderId="55" xfId="0" applyNumberFormat="1" applyFont="1" applyBorder="1" applyAlignment="1">
      <alignment horizontal="right" wrapText="1" readingOrder="1"/>
    </xf>
    <xf numFmtId="0" fontId="10" fillId="0" borderId="0" xfId="0" applyFont="1" applyAlignment="1">
      <alignment horizontal="left" readingOrder="1"/>
    </xf>
    <xf numFmtId="0" fontId="169" fillId="0" borderId="0" xfId="0" applyFont="1" applyAlignment="1">
      <alignment horizontal="left" readingOrder="1"/>
    </xf>
    <xf numFmtId="0" fontId="197" fillId="0" borderId="0" xfId="0" applyFont="1"/>
    <xf numFmtId="0" fontId="198" fillId="0" borderId="0" xfId="0" applyFont="1"/>
    <xf numFmtId="0" fontId="3" fillId="0" borderId="0" xfId="0" applyFont="1" applyAlignment="1">
      <alignment horizontal="left"/>
    </xf>
    <xf numFmtId="1" fontId="6" fillId="0" borderId="53" xfId="0" applyNumberFormat="1" applyFont="1" applyBorder="1" applyAlignment="1">
      <alignment horizontal="right"/>
    </xf>
    <xf numFmtId="3" fontId="6" fillId="0" borderId="53" xfId="0" applyNumberFormat="1" applyFont="1" applyBorder="1" applyAlignment="1">
      <alignment horizontal="right"/>
    </xf>
    <xf numFmtId="3" fontId="6" fillId="0" borderId="55" xfId="0" applyNumberFormat="1" applyFont="1" applyBorder="1" applyAlignment="1">
      <alignment horizontal="right"/>
    </xf>
    <xf numFmtId="165" fontId="6" fillId="0" borderId="0" xfId="0" applyNumberFormat="1"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0" fontId="166" fillId="0" borderId="0" xfId="0" applyFont="1" applyAlignment="1">
      <alignment horizontal="left" readingOrder="1"/>
    </xf>
    <xf numFmtId="0" fontId="166" fillId="0" borderId="0" xfId="0" applyFont="1" applyAlignment="1">
      <alignment readingOrder="1"/>
    </xf>
    <xf numFmtId="0" fontId="7" fillId="0" borderId="0" xfId="4" applyFill="1" applyBorder="1" applyAlignment="1">
      <alignment wrapText="1"/>
    </xf>
    <xf numFmtId="0" fontId="7" fillId="0" borderId="0" xfId="4" applyFill="1" applyAlignment="1">
      <alignment readingOrder="1"/>
    </xf>
    <xf numFmtId="0" fontId="0" fillId="0" borderId="0" xfId="0" applyAlignment="1">
      <alignment horizontal="left" wrapText="1"/>
    </xf>
    <xf numFmtId="0" fontId="187" fillId="115" borderId="0" xfId="0" applyFont="1" applyFill="1" applyAlignment="1">
      <alignment wrapText="1"/>
    </xf>
    <xf numFmtId="0" fontId="7" fillId="0" borderId="0" xfId="4" applyFill="1"/>
    <xf numFmtId="0" fontId="7" fillId="0" borderId="0" xfId="4" applyFill="1" applyAlignment="1">
      <alignment vertical="top" wrapText="1"/>
    </xf>
    <xf numFmtId="0" fontId="3" fillId="0" borderId="0" xfId="1" applyAlignment="1">
      <alignment readingOrder="1"/>
    </xf>
    <xf numFmtId="1" fontId="8" fillId="0" borderId="0" xfId="0" applyNumberFormat="1" applyFont="1" applyAlignment="1">
      <alignment horizontal="left" vertical="center" wrapText="1" shrinkToFit="1"/>
    </xf>
    <xf numFmtId="0" fontId="178" fillId="115" borderId="0" xfId="0" applyFont="1" applyFill="1" applyAlignment="1">
      <alignment horizontal="left" vertical="center" wrapText="1"/>
    </xf>
    <xf numFmtId="0" fontId="177" fillId="115" borderId="0" xfId="0" applyFont="1" applyFill="1" applyAlignment="1">
      <alignment horizontal="left" vertical="center" wrapText="1"/>
    </xf>
    <xf numFmtId="0" fontId="187" fillId="115" borderId="0" xfId="0" applyFont="1" applyFill="1" applyAlignment="1">
      <alignment horizontal="left" wrapText="1"/>
    </xf>
    <xf numFmtId="0" fontId="0" fillId="0" borderId="0" xfId="0" applyAlignment="1">
      <alignment horizontal="left" wrapText="1"/>
    </xf>
    <xf numFmtId="0" fontId="0" fillId="0" borderId="0" xfId="0" applyAlignment="1">
      <alignment horizontal="left"/>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59">
    <dxf>
      <numFmt numFmtId="3" formatCode="#,##0"/>
      <alignment horizontal="center" vertical="center" textRotation="0" wrapText="0" indent="0" justifyLastLine="0" shrinkToFit="0" readingOrder="0"/>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top" textRotation="0" wrapText="1" indent="0" justifyLastLine="0" shrinkToFit="0" readingOrder="1"/>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border outline="0">
        <left style="thick">
          <color indexed="64"/>
        </left>
        <right/>
      </border>
    </dxf>
    <dxf>
      <font>
        <b val="0"/>
      </font>
      <fill>
        <patternFill patternType="none">
          <fgColor indexed="64"/>
          <bgColor auto="1"/>
        </patternFill>
      </fill>
      <alignment horizontal="right" vertical="bottom" textRotation="0" indent="0" justifyLastLine="0" shrinkToFit="0"/>
    </dxf>
    <dxf>
      <font>
        <b val="0"/>
      </font>
      <numFmt numFmtId="2"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6"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outline="0">
        <left style="thick">
          <color indexed="64"/>
        </left>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center" textRotation="0" wrapText="1"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dxf>
    <dxf>
      <alignment horizontal="left" vertical="bottom" textRotation="0" indent="0" justifyLastLine="0" shrinkToFit="0"/>
    </dxf>
  </dxfs>
  <tableStyles count="5" defaultTableStyle="TableStyleMedium2" defaultPivotStyle="PivotStyleLight16">
    <tableStyle name="indicators" pivot="0" table="0" count="6" xr9:uid="{F35CBC20-9EDE-4CA8-BDD4-362C8ECC02B8}"/>
    <tableStyle name="indicators 2" pivot="0" table="0" count="6" xr9:uid="{3F64A376-3736-4715-8CE6-4FD955576E48}"/>
    <tableStyle name="Invisible" pivot="0" table="0" count="0" xr9:uid="{06A48C4A-A1EE-4E17-9FE2-BDBFF66F83E9}"/>
    <tableStyle name="Slicer Style 1" pivot="0" table="0" count="6" xr9:uid="{2A21D74A-C287-4319-966B-52FBF332FBB3}"/>
    <tableStyle name="Slicer Style 1 2" pivot="0" table="0" count="6" xr9:uid="{1D6C4630-9A35-495C-A232-C4828E06B297}"/>
  </tableStyles>
  <colors>
    <mruColors>
      <color rgb="FF702472"/>
      <color rgb="FF9C46A3"/>
      <color rgb="FF8787C9"/>
      <color rgb="FF0000FF"/>
      <color rgb="FF253268"/>
      <color rgb="FF8392C3"/>
    </mruColors>
  </colors>
  <extLst>
    <ext xmlns:x14="http://schemas.microsoft.com/office/spreadsheetml/2009/9/main" uri="{46F421CA-312F-682f-3DD2-61675219B42D}">
      <x14:dxfs count="24">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23"/>
            <x14:slicerStyleElement type="unselectedItemWithNoData" dxfId="22"/>
            <x14:slicerStyleElement type="selectedItemWithData" dxfId="21"/>
            <x14:slicerStyleElement type="hoveredUnselectedItemWithData" dxfId="20"/>
            <x14:slicerStyleElement type="hoveredSelectedItemWithData" dxfId="19"/>
            <x14:slicerStyleElement type="hoveredSelectedItemWithNoData" dxfId="18"/>
          </x14:slicerStyleElements>
        </x14:slicerStyle>
        <x14:slicerStyle name="indicators 2">
          <x14:slicerStyleElements>
            <x14:slicerStyleElement type="unselectedItemWithData" dxfId="17"/>
            <x14:slicerStyleElement type="unselectedItemWithNoData" dxfId="16"/>
            <x14:slicerStyleElement type="selectedItemWithData" dxfId="15"/>
            <x14:slicerStyleElement type="hoveredUnselectedItemWithData" dxfId="14"/>
            <x14:slicerStyleElement type="hoveredSelectedItemWithData" dxfId="13"/>
            <x14:slicerStyleElement type="hoveredSelectedItemWithNoData" dxfId="12"/>
          </x14:slicerStyleElements>
        </x14:slicerStyle>
        <x14:slicerStyle name="Slicer Style 1">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2">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[nhaa-2024-table-4-outcome-being-environmentally-responsible.xlsx]workings!PivotTable14</c:name>
    <c:fmtId val="3"/>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spPr>
          <a:solidFill>
            <a:srgbClr val="253268"/>
          </a:solidFill>
          <a:ln>
            <a:noFill/>
          </a:ln>
          <a:effectLst/>
        </c:spPr>
      </c:pivotFmt>
      <c:pivotFmt>
        <c:idx val="14"/>
        <c:spPr>
          <a:solidFill>
            <a:srgbClr val="702472"/>
          </a:solidFill>
          <a:ln>
            <a:noFill/>
          </a:ln>
          <a:effectLst/>
        </c:spPr>
      </c:pivotFmt>
      <c:pivotFmt>
        <c:idx val="15"/>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253268"/>
          </a:solidFill>
          <a:ln>
            <a:noFill/>
          </a:ln>
          <a:effectLst/>
        </c:spPr>
      </c:pivotFmt>
      <c:pivotFmt>
        <c:idx val="17"/>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002060"/>
          </a:solidFill>
        </c:spPr>
        <c:marker>
          <c:symbol val="none"/>
        </c:marker>
        <c:dLbl>
          <c:idx val="0"/>
          <c:spPr>
            <a:noFill/>
            <a:ln>
              <a:noFill/>
            </a:ln>
            <a:effectLst/>
          </c:spPr>
          <c:txPr>
            <a:bodyPr wrap="square" lIns="38100" tIns="19050" rIns="38100" bIns="19050" anchor="ctr">
              <a:spAutoFit/>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702472"/>
          </a:solidFill>
        </c:spPr>
      </c:pivotFmt>
      <c:pivotFmt>
        <c:idx val="21"/>
        <c:spPr>
          <a:solidFill>
            <a:srgbClr val="702472"/>
          </a:solidFill>
        </c:spPr>
      </c:pivotFmt>
      <c:pivotFmt>
        <c:idx val="22"/>
        <c:spPr>
          <a:solidFill>
            <a:srgbClr val="702472"/>
          </a:solidFill>
        </c:spPr>
      </c:pivotFmt>
      <c:pivotFmt>
        <c:idx val="23"/>
      </c:pivotFmt>
      <c:pivotFmt>
        <c:idx val="24"/>
      </c:pivotFmt>
      <c:pivotFmt>
        <c:idx val="25"/>
      </c:pivotFmt>
      <c:pivotFmt>
        <c:idx val="26"/>
      </c:pivotFmt>
      <c:pivotFmt>
        <c:idx val="27"/>
      </c:pivotFmt>
      <c:pivotFmt>
        <c:idx val="28"/>
        <c:spPr>
          <a:solidFill>
            <a:srgbClr val="702472"/>
          </a:solidFill>
        </c:spPr>
      </c:pivotFmt>
      <c:pivotFmt>
        <c:idx val="29"/>
        <c:spPr>
          <a:solidFill>
            <a:srgbClr val="702472"/>
          </a:solidFill>
        </c:spPr>
      </c:pivotFmt>
    </c:pivotFmts>
    <c:plotArea>
      <c:layout/>
      <c:barChart>
        <c:barDir val="col"/>
        <c:grouping val="clustered"/>
        <c:varyColors val="0"/>
        <c:ser>
          <c:idx val="0"/>
          <c:order val="0"/>
          <c:tx>
            <c:strRef>
              <c:f>workings!$B$5</c:f>
              <c:strCache>
                <c:ptCount val="1"/>
                <c:pt idx="0">
                  <c:v>Total</c:v>
                </c:pt>
              </c:strCache>
            </c:strRef>
          </c:tx>
          <c:spPr>
            <a:solidFill>
              <a:srgbClr val="002060"/>
            </a:solidFill>
          </c:spPr>
          <c:invertIfNegative val="0"/>
          <c:dPt>
            <c:idx val="0"/>
            <c:invertIfNegative val="0"/>
            <c:bubble3D val="0"/>
            <c:spPr>
              <a:solidFill>
                <a:srgbClr val="702472"/>
              </a:solidFill>
            </c:spPr>
            <c:extLst>
              <c:ext xmlns:c16="http://schemas.microsoft.com/office/drawing/2014/chart" uri="{C3380CC4-5D6E-409C-BE32-E72D297353CC}">
                <c16:uniqueId val="{00000000-FDB5-43EE-A10D-006D4334335D}"/>
              </c:ext>
            </c:extLst>
          </c:dPt>
          <c:dPt>
            <c:idx val="1"/>
            <c:invertIfNegative val="0"/>
            <c:bubble3D val="0"/>
            <c:spPr>
              <a:solidFill>
                <a:srgbClr val="702472"/>
              </a:solidFill>
            </c:spPr>
            <c:extLst>
              <c:ext xmlns:c16="http://schemas.microsoft.com/office/drawing/2014/chart" uri="{C3380CC4-5D6E-409C-BE32-E72D297353CC}">
                <c16:uniqueId val="{00000001-FDB5-43EE-A10D-006D4334335D}"/>
              </c:ext>
            </c:extLst>
          </c:dPt>
          <c:dPt>
            <c:idx val="2"/>
            <c:invertIfNegative val="0"/>
            <c:bubble3D val="0"/>
            <c:spPr>
              <a:solidFill>
                <a:srgbClr val="702472"/>
              </a:solidFill>
            </c:spPr>
            <c:extLst>
              <c:ext xmlns:c16="http://schemas.microsoft.com/office/drawing/2014/chart" uri="{C3380CC4-5D6E-409C-BE32-E72D297353CC}">
                <c16:uniqueId val="{00000006-0EB0-4C1E-89E8-A7E05C9595A3}"/>
              </c:ext>
            </c:extLst>
          </c:dPt>
          <c:dPt>
            <c:idx val="3"/>
            <c:invertIfNegative val="0"/>
            <c:bubble3D val="0"/>
            <c:spPr>
              <a:solidFill>
                <a:srgbClr val="702472"/>
              </a:solidFill>
            </c:spPr>
            <c:extLst>
              <c:ext xmlns:c16="http://schemas.microsoft.com/office/drawing/2014/chart" uri="{C3380CC4-5D6E-409C-BE32-E72D297353CC}">
                <c16:uniqueId val="{00000008-5938-4C27-B6A0-6D8BA81434A0}"/>
              </c:ext>
            </c:extLst>
          </c:dPt>
          <c:dPt>
            <c:idx val="5"/>
            <c:invertIfNegative val="0"/>
            <c:bubble3D val="0"/>
            <c:extLst>
              <c:ext xmlns:c16="http://schemas.microsoft.com/office/drawing/2014/chart" uri="{C3380CC4-5D6E-409C-BE32-E72D297353CC}">
                <c16:uniqueId val="{00000003-B4AC-40BA-976A-80F7D18082EA}"/>
              </c:ext>
            </c:extLst>
          </c:dPt>
          <c:dPt>
            <c:idx val="6"/>
            <c:invertIfNegative val="0"/>
            <c:bubble3D val="0"/>
            <c:extLst>
              <c:ext xmlns:c16="http://schemas.microsoft.com/office/drawing/2014/chart" uri="{C3380CC4-5D6E-409C-BE32-E72D297353CC}">
                <c16:uniqueId val="{00000005-B4AC-40BA-976A-80F7D18082EA}"/>
              </c:ext>
            </c:extLst>
          </c:dPt>
          <c:dPt>
            <c:idx val="7"/>
            <c:invertIfNegative val="0"/>
            <c:bubble3D val="0"/>
            <c:extLst>
              <c:ext xmlns:c16="http://schemas.microsoft.com/office/drawing/2014/chart" uri="{C3380CC4-5D6E-409C-BE32-E72D297353CC}">
                <c16:uniqueId val="{00000009-CB2C-42AF-9F14-1C65667976FC}"/>
              </c:ext>
            </c:extLst>
          </c:dPt>
          <c:dPt>
            <c:idx val="8"/>
            <c:invertIfNegative val="0"/>
            <c:bubble3D val="0"/>
            <c:extLst>
              <c:ext xmlns:c16="http://schemas.microsoft.com/office/drawing/2014/chart" uri="{C3380CC4-5D6E-409C-BE32-E72D297353CC}">
                <c16:uniqueId val="{0000000B-CB2C-42AF-9F14-1C65667976FC}"/>
              </c:ext>
            </c:extLst>
          </c:dPt>
          <c:dLbls>
            <c:spPr>
              <a:noFill/>
              <a:ln>
                <a:noFill/>
              </a:ln>
              <a:effectLst/>
            </c:spPr>
            <c:txPr>
              <a:bodyPr wrap="square" lIns="38100" tIns="19050" rIns="38100" bIns="19050" anchor="ctr">
                <a:spAutoFit/>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workings!$A$6:$A$9</c:f>
              <c:strCache>
                <c:ptCount val="4"/>
                <c:pt idx="0">
                  <c:v>2020-21</c:v>
                </c:pt>
                <c:pt idx="1">
                  <c:v>2021-22</c:v>
                </c:pt>
                <c:pt idx="2">
                  <c:v>2022-23</c:v>
                </c:pt>
                <c:pt idx="3">
                  <c:v>2023-24</c:v>
                </c:pt>
              </c:strCache>
            </c:strRef>
          </c:cat>
          <c:val>
            <c:numRef>
              <c:f>workings!$B$6:$B$9</c:f>
              <c:numCache>
                <c:formatCode>#,##0</c:formatCode>
                <c:ptCount val="4"/>
                <c:pt idx="0">
                  <c:v>31</c:v>
                </c:pt>
                <c:pt idx="1">
                  <c:v>31</c:v>
                </c:pt>
                <c:pt idx="2">
                  <c:v>43</c:v>
                </c:pt>
                <c:pt idx="3">
                  <c:v>30</c:v>
                </c:pt>
              </c:numCache>
            </c:numRef>
          </c:val>
          <c:extLst>
            <c:ext xmlns:c16="http://schemas.microsoft.com/office/drawing/2014/chart" uri="{C3380CC4-5D6E-409C-BE32-E72D297353CC}">
              <c16:uniqueId val="{00000000-954B-4D32-BA92-29BEBB0E8995}"/>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0"/>
        <c:axPos val="l"/>
        <c:numFmt formatCode="#,##0"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049897983"/>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[nhaa-2024-table-4-outcome-being-environmentally-responsible.xlsx]workings!PivotTable15</c:name>
    <c:fmtId val="5"/>
  </c:pivotSource>
  <c:chart>
    <c:title>
      <c:tx>
        <c:strRef>
          <c:f>workings!$E$5</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8392C3"/>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t" anchorCtr="0">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9C46A3"/>
          </a:solidFill>
          <a:ln>
            <a:noFill/>
          </a:ln>
          <a:effectLst/>
        </c:spPr>
      </c:pivotFmt>
      <c:pivotFmt>
        <c:idx val="24"/>
        <c:spPr>
          <a:solidFill>
            <a:srgbClr val="9C46A3"/>
          </a:solidFill>
          <a:ln>
            <a:noFill/>
          </a:ln>
          <a:effectLst/>
        </c:spPr>
      </c:pivotFmt>
      <c:pivotFmt>
        <c:idx val="25"/>
        <c:spPr>
          <a:solidFill>
            <a:srgbClr val="9C46A3"/>
          </a:solidFill>
          <a:ln>
            <a:noFill/>
          </a:ln>
          <a:effectLst/>
        </c:spPr>
      </c:pivotFmt>
      <c:pivotFmt>
        <c:idx val="26"/>
        <c:spPr>
          <a:solidFill>
            <a:srgbClr val="9C46A3"/>
          </a:solidFill>
          <a:ln>
            <a:noFill/>
          </a:ln>
          <a:effectLst/>
        </c:spPr>
      </c:pivotFmt>
      <c:pivotFmt>
        <c:idx val="27"/>
        <c:spPr>
          <a:solidFill>
            <a:srgbClr val="8392C3"/>
          </a:solidFill>
          <a:ln>
            <a:noFill/>
          </a:ln>
          <a:effectLst/>
        </c:spPr>
      </c:pivotFmt>
      <c:pivotFmt>
        <c:idx val="28"/>
      </c:pivotFmt>
      <c:pivotFmt>
        <c:idx val="29"/>
      </c:pivotFmt>
      <c:pivotFmt>
        <c:idx val="30"/>
      </c:pivotFmt>
      <c:pivotFmt>
        <c:idx val="31"/>
      </c:pivotFmt>
      <c:pivotFmt>
        <c:idx val="32"/>
      </c:pivotFmt>
    </c:pivotFmts>
    <c:plotArea>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3-B344-4CB6-AC5A-FE99462F8DFA}"/>
              </c:ext>
            </c:extLst>
          </c:dPt>
          <c:dPt>
            <c:idx val="1"/>
            <c:invertIfNegative val="0"/>
            <c:bubble3D val="0"/>
            <c:spPr>
              <a:solidFill>
                <a:srgbClr val="9C46A3"/>
              </a:solidFill>
              <a:ln>
                <a:noFill/>
              </a:ln>
              <a:effectLst/>
            </c:spPr>
            <c:extLst>
              <c:ext xmlns:c16="http://schemas.microsoft.com/office/drawing/2014/chart" uri="{C3380CC4-5D6E-409C-BE32-E72D297353CC}">
                <c16:uniqueId val="{00000001-D04B-44E5-BDB9-7688A1A6408C}"/>
              </c:ext>
            </c:extLst>
          </c:dPt>
          <c:dPt>
            <c:idx val="2"/>
            <c:invertIfNegative val="0"/>
            <c:bubble3D val="0"/>
            <c:spPr>
              <a:solidFill>
                <a:srgbClr val="9C46A3"/>
              </a:solidFill>
              <a:ln>
                <a:noFill/>
              </a:ln>
              <a:effectLst/>
            </c:spPr>
            <c:extLst>
              <c:ext xmlns:c16="http://schemas.microsoft.com/office/drawing/2014/chart" uri="{C3380CC4-5D6E-409C-BE32-E72D297353CC}">
                <c16:uniqueId val="{00000006-D98F-4F43-8C6D-E39FFDEA8308}"/>
              </c:ext>
            </c:extLst>
          </c:dPt>
          <c:dPt>
            <c:idx val="5"/>
            <c:invertIfNegative val="0"/>
            <c:bubble3D val="0"/>
            <c:extLst>
              <c:ext xmlns:c16="http://schemas.microsoft.com/office/drawing/2014/chart" uri="{C3380CC4-5D6E-409C-BE32-E72D297353CC}">
                <c16:uniqueId val="{00000003-0E7D-4CF4-8111-CA1449FD3D1E}"/>
              </c:ext>
            </c:extLst>
          </c:dPt>
          <c:dPt>
            <c:idx val="6"/>
            <c:invertIfNegative val="0"/>
            <c:bubble3D val="0"/>
            <c:extLst>
              <c:ext xmlns:c16="http://schemas.microsoft.com/office/drawing/2014/chart" uri="{C3380CC4-5D6E-409C-BE32-E72D297353CC}">
                <c16:uniqueId val="{00000000-A7AA-4123-9024-7CFFA076F702}"/>
              </c:ext>
            </c:extLst>
          </c:dPt>
          <c:dPt>
            <c:idx val="7"/>
            <c:invertIfNegative val="0"/>
            <c:bubble3D val="0"/>
            <c:extLst>
              <c:ext xmlns:c16="http://schemas.microsoft.com/office/drawing/2014/chart" uri="{C3380CC4-5D6E-409C-BE32-E72D297353CC}">
                <c16:uniqueId val="{00000008-68C2-436E-A02A-17CC96D0F5CE}"/>
              </c:ext>
            </c:extLst>
          </c:dPt>
          <c:dLbls>
            <c:numFmt formatCode="#,##0" sourceLinked="0"/>
            <c:spPr>
              <a:noFill/>
              <a:ln>
                <a:noFill/>
              </a:ln>
              <a:effectLst/>
            </c:spPr>
            <c:txPr>
              <a:bodyPr rot="0" spcFirstLastPara="1" vertOverflow="ellipsis" vert="horz" wrap="square" lIns="38100" tIns="19050" rIns="38100" bIns="19050" anchor="t" anchorCtr="0">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workings!$E$5</c:f>
              <c:strCache>
                <c:ptCount val="4"/>
                <c:pt idx="0">
                  <c:v>2020-21</c:v>
                </c:pt>
                <c:pt idx="1">
                  <c:v>2021-22</c:v>
                </c:pt>
                <c:pt idx="2">
                  <c:v>2022-23</c:v>
                </c:pt>
                <c:pt idx="3">
                  <c:v>2023-24</c:v>
                </c:pt>
              </c:strCache>
            </c:strRef>
          </c:cat>
          <c:val>
            <c:numRef>
              <c:f>workings!$E$5</c:f>
              <c:numCache>
                <c:formatCode>#,##0</c:formatCode>
                <c:ptCount val="4"/>
                <c:pt idx="0">
                  <c:v>7</c:v>
                </c:pt>
                <c:pt idx="1">
                  <c:v>7</c:v>
                </c:pt>
                <c:pt idx="2">
                  <c:v>10</c:v>
                </c:pt>
              </c:numCache>
            </c:numRef>
          </c:val>
          <c:extLst>
            <c:ext xmlns:c16="http://schemas.microsoft.com/office/drawing/2014/chart" uri="{C3380CC4-5D6E-409C-BE32-E72D297353CC}">
              <c16:uniqueId val="{00000000-6161-4473-B097-AAE6F9162285}"/>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[nhaa-2024-table-4-outcome-being-environmentally-responsible.xlsx]workings!PivotTable16</c:name>
    <c:fmtId val="5"/>
  </c:pivotSource>
  <c:chart>
    <c:title>
      <c:tx>
        <c:strRef>
          <c:f>workings!$H$5</c:f>
          <c:strCache>
            <c:ptCount val="1"/>
            <c:pt idx="0">
              <c:v> North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702472"/>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pivotFmt>
      <c:pivotFmt>
        <c:idx val="22"/>
        <c:spPr>
          <a:solidFill>
            <a:srgbClr val="8392C3"/>
          </a:solidFill>
          <a:ln>
            <a:noFill/>
          </a:ln>
          <a:effectLst/>
        </c:spPr>
      </c:pivotFmt>
      <c:pivotFmt>
        <c:idx val="23"/>
        <c:spPr>
          <a:solidFill>
            <a:srgbClr val="8392C3"/>
          </a:solidFill>
          <a:ln>
            <a:noFill/>
          </a:ln>
          <a:effectLst/>
        </c:spPr>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8392C3"/>
          </a:solidFill>
          <a:ln>
            <a:noFill/>
          </a:ln>
          <a:effectLst/>
        </c:spPr>
      </c:pivotFmt>
      <c:pivotFmt>
        <c:idx val="27"/>
        <c:spPr>
          <a:solidFill>
            <a:srgbClr val="8392C3"/>
          </a:solidFill>
          <a:ln>
            <a:noFill/>
          </a:ln>
          <a:effectLst/>
        </c:spPr>
      </c:pivotFmt>
      <c:pivotFmt>
        <c:idx val="28"/>
        <c:spPr>
          <a:solidFill>
            <a:srgbClr val="8392C3"/>
          </a:solidFill>
          <a:ln>
            <a:noFill/>
          </a:ln>
          <a:effectLst/>
        </c:spPr>
      </c:pivotFmt>
      <c:pivotFmt>
        <c:idx val="2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rgbClr val="9C46A3"/>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9C46A3"/>
          </a:solidFill>
          <a:ln>
            <a:noFill/>
          </a:ln>
          <a:effectLst/>
        </c:spPr>
      </c:pivotFmt>
      <c:pivotFmt>
        <c:idx val="32"/>
        <c:spPr>
          <a:solidFill>
            <a:srgbClr val="9C46A3"/>
          </a:solidFill>
          <a:ln>
            <a:noFill/>
          </a:ln>
          <a:effectLst/>
        </c:spPr>
      </c:pivotFmt>
    </c:pivotFmts>
    <c:plotArea>
      <c:layout/>
      <c:barChart>
        <c:barDir val="col"/>
        <c:grouping val="clustered"/>
        <c:varyColors val="0"/>
        <c:ser>
          <c:idx val="0"/>
          <c:order val="0"/>
          <c:tx>
            <c:strRef>
              <c:f>workings!$H$5</c:f>
              <c:strCache>
                <c:ptCount val="1"/>
                <c:pt idx="0">
                  <c:v>Total</c:v>
                </c:pt>
              </c:strCache>
            </c:strRef>
          </c:tx>
          <c:spPr>
            <a:solidFill>
              <a:srgbClr val="9C46A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4"/>
                <c:pt idx="0">
                  <c:v>2020-21</c:v>
                </c:pt>
                <c:pt idx="1">
                  <c:v>2021-22</c:v>
                </c:pt>
                <c:pt idx="2">
                  <c:v>2022-23</c:v>
                </c:pt>
                <c:pt idx="3">
                  <c:v>2023-24</c:v>
                </c:pt>
              </c:strCache>
            </c:strRef>
          </c:cat>
          <c:val>
            <c:numRef>
              <c:f>workings!$H$5</c:f>
              <c:numCache>
                <c:formatCode>#,##0</c:formatCode>
                <c:ptCount val="4"/>
                <c:pt idx="0">
                  <c:v>2</c:v>
                </c:pt>
                <c:pt idx="1">
                  <c:v>2</c:v>
                </c:pt>
                <c:pt idx="2">
                  <c:v>10</c:v>
                </c:pt>
              </c:numCache>
            </c:numRef>
          </c:val>
          <c:extLst>
            <c:ext xmlns:c16="http://schemas.microsoft.com/office/drawing/2014/chart" uri="{C3380CC4-5D6E-409C-BE32-E72D297353CC}">
              <c16:uniqueId val="{00000000-18FD-42EF-A161-C012E5C15AC8}"/>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[nhaa-2024-table-4-outcome-being-environmentally-responsible.xlsx]workings!PivotTable17</c:name>
    <c:fmtId val="3"/>
  </c:pivotSource>
  <c:chart>
    <c:title>
      <c:tx>
        <c:strRef>
          <c:f>workings!$K$5</c:f>
          <c:strCache>
            <c:ptCount val="1"/>
            <c:pt idx="0">
              <c:v> Midlands</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702472"/>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pivotFmt>
      <c:pivotFmt>
        <c:idx val="22"/>
        <c:spPr>
          <a:solidFill>
            <a:srgbClr val="8392C3"/>
          </a:solidFill>
          <a:ln>
            <a:noFill/>
          </a:ln>
          <a:effectLst/>
        </c:spPr>
      </c:pivotFmt>
      <c:pivotFmt>
        <c:idx val="23"/>
        <c:spPr>
          <a:solidFill>
            <a:srgbClr val="8392C3"/>
          </a:solidFill>
          <a:ln>
            <a:noFill/>
          </a:ln>
          <a:effectLst/>
        </c:spPr>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8392C3"/>
          </a:solidFill>
          <a:ln>
            <a:noFill/>
          </a:ln>
          <a:effectLst/>
        </c:spPr>
      </c:pivotFmt>
      <c:pivotFmt>
        <c:idx val="27"/>
        <c:spPr>
          <a:solidFill>
            <a:srgbClr val="8392C3"/>
          </a:solidFill>
          <a:ln>
            <a:noFill/>
          </a:ln>
          <a:effectLst/>
        </c:spPr>
      </c:pivotFmt>
      <c:pivotFmt>
        <c:idx val="28"/>
        <c:spPr>
          <a:solidFill>
            <a:srgbClr val="8392C3"/>
          </a:solidFill>
          <a:ln>
            <a:noFill/>
          </a:ln>
          <a:effectLst/>
        </c:spPr>
      </c:pivotFmt>
      <c:pivotFmt>
        <c:idx val="2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0"/>
        <c:spPr>
          <a:solidFill>
            <a:srgbClr val="8392C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9C46A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rgbClr val="9C46A3"/>
          </a:solidFill>
          <a:ln>
            <a:noFill/>
          </a:ln>
          <a:effectLst/>
        </c:spPr>
      </c:pivotFmt>
      <c:pivotFmt>
        <c:idx val="33"/>
        <c:spPr>
          <a:solidFill>
            <a:srgbClr val="9C46A3"/>
          </a:solidFill>
          <a:ln>
            <a:noFill/>
          </a:ln>
          <a:effectLst/>
        </c:spPr>
      </c:pivotFmt>
    </c:pivotFmts>
    <c:plotArea>
      <c:layout/>
      <c:barChart>
        <c:barDir val="col"/>
        <c:grouping val="clustered"/>
        <c:varyColors val="0"/>
        <c:ser>
          <c:idx val="0"/>
          <c:order val="0"/>
          <c:tx>
            <c:strRef>
              <c:f>workings!$K$5</c:f>
              <c:strCache>
                <c:ptCount val="1"/>
                <c:pt idx="0">
                  <c:v>Total</c:v>
                </c:pt>
              </c:strCache>
            </c:strRef>
          </c:tx>
          <c:spPr>
            <a:solidFill>
              <a:srgbClr val="9C46A3"/>
            </a:solidFill>
            <a:ln>
              <a:noFill/>
            </a:ln>
            <a:effectLst/>
          </c:spPr>
          <c:invertIfNegative val="0"/>
          <c:dPt>
            <c:idx val="0"/>
            <c:invertIfNegative val="0"/>
            <c:bubble3D val="0"/>
            <c:extLst>
              <c:ext xmlns:c16="http://schemas.microsoft.com/office/drawing/2014/chart" uri="{C3380CC4-5D6E-409C-BE32-E72D297353CC}">
                <c16:uniqueId val="{00000001-33B2-4C16-B27C-FDF492870CCD}"/>
              </c:ext>
            </c:extLst>
          </c:dPt>
          <c:dPt>
            <c:idx val="5"/>
            <c:invertIfNegative val="0"/>
            <c:bubble3D val="0"/>
            <c:extLst>
              <c:ext xmlns:c16="http://schemas.microsoft.com/office/drawing/2014/chart" uri="{C3380CC4-5D6E-409C-BE32-E72D297353CC}">
                <c16:uniqueId val="{00000000-263A-488F-AD87-A40BE0C5B28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4"/>
                <c:pt idx="0">
                  <c:v>2020-21</c:v>
                </c:pt>
                <c:pt idx="1">
                  <c:v>2021-22</c:v>
                </c:pt>
                <c:pt idx="2">
                  <c:v>2022-23</c:v>
                </c:pt>
                <c:pt idx="3">
                  <c:v>2023-24</c:v>
                </c:pt>
              </c:strCache>
            </c:strRef>
          </c:cat>
          <c:val>
            <c:numRef>
              <c:f>workings!$K$5</c:f>
              <c:numCache>
                <c:formatCode>#,##0</c:formatCode>
                <c:ptCount val="4"/>
                <c:pt idx="0">
                  <c:v>11</c:v>
                </c:pt>
                <c:pt idx="1">
                  <c:v>11</c:v>
                </c:pt>
                <c:pt idx="2">
                  <c:v>11</c:v>
                </c:pt>
              </c:numCache>
            </c:numRef>
          </c:val>
          <c:extLst>
            <c:ext xmlns:c16="http://schemas.microsoft.com/office/drawing/2014/chart" uri="{C3380CC4-5D6E-409C-BE32-E72D297353CC}">
              <c16:uniqueId val="{00000001-263A-488F-AD87-A40BE0C5B286}"/>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[nhaa-2024-table-4-outcome-being-environmentally-responsible.xlsx]workings!PivotTable18</c:name>
    <c:fmtId val="3"/>
  </c:pivotSource>
  <c:chart>
    <c:title>
      <c:tx>
        <c:strRef>
          <c:f>workings!$N$5</c:f>
          <c:strCache>
            <c:ptCount val="1"/>
            <c:pt idx="0">
              <c:v>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702472"/>
          </a:solidFill>
          <a:ln>
            <a:noFill/>
          </a:ln>
          <a:effectLst/>
        </c:spPr>
      </c:pivotFmt>
      <c:pivotFmt>
        <c:idx val="1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8392C3"/>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9C46A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9C46A3"/>
          </a:solidFill>
          <a:ln>
            <a:noFill/>
          </a:ln>
          <a:effectLst/>
        </c:spPr>
      </c:pivotFmt>
      <c:pivotFmt>
        <c:idx val="22"/>
        <c:spPr>
          <a:solidFill>
            <a:srgbClr val="9C46A3"/>
          </a:solidFill>
          <a:ln>
            <a:noFill/>
          </a:ln>
          <a:effectLst/>
        </c:spPr>
      </c:pivotFmt>
    </c:pivotFmts>
    <c:plotArea>
      <c:layout/>
      <c:barChart>
        <c:barDir val="col"/>
        <c:grouping val="clustered"/>
        <c:varyColors val="0"/>
        <c:ser>
          <c:idx val="0"/>
          <c:order val="0"/>
          <c:tx>
            <c:strRef>
              <c:f>workings!$N$5</c:f>
              <c:strCache>
                <c:ptCount val="1"/>
                <c:pt idx="0">
                  <c:v>Total</c:v>
                </c:pt>
              </c:strCache>
            </c:strRef>
          </c:tx>
          <c:spPr>
            <a:solidFill>
              <a:srgbClr val="9C46A3"/>
            </a:solidFill>
            <a:ln>
              <a:noFill/>
            </a:ln>
            <a:effectLst/>
          </c:spPr>
          <c:invertIfNegative val="0"/>
          <c:dPt>
            <c:idx val="0"/>
            <c:invertIfNegative val="0"/>
            <c:bubble3D val="0"/>
            <c:extLst>
              <c:ext xmlns:c16="http://schemas.microsoft.com/office/drawing/2014/chart" uri="{C3380CC4-5D6E-409C-BE32-E72D297353CC}">
                <c16:uniqueId val="{00000001-38BF-4E0C-AF29-BA7F4BFC517C}"/>
              </c:ext>
            </c:extLst>
          </c:dPt>
          <c:dPt>
            <c:idx val="5"/>
            <c:invertIfNegative val="0"/>
            <c:bubble3D val="0"/>
            <c:extLst>
              <c:ext xmlns:c16="http://schemas.microsoft.com/office/drawing/2014/chart" uri="{C3380CC4-5D6E-409C-BE32-E72D297353CC}">
                <c16:uniqueId val="{00000002-446B-4915-8DE6-B4D5F3E9E90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4"/>
                <c:pt idx="0">
                  <c:v>2020-21</c:v>
                </c:pt>
                <c:pt idx="1">
                  <c:v>2021-22</c:v>
                </c:pt>
                <c:pt idx="2">
                  <c:v>2022-23</c:v>
                </c:pt>
                <c:pt idx="3">
                  <c:v>2023-24</c:v>
                </c:pt>
              </c:strCache>
            </c:strRef>
          </c:cat>
          <c:val>
            <c:numRef>
              <c:f>workings!$N$5</c:f>
              <c:numCache>
                <c:formatCode>#,##0</c:formatCode>
                <c:ptCount val="4"/>
                <c:pt idx="0">
                  <c:v>0</c:v>
                </c:pt>
                <c:pt idx="1">
                  <c:v>0</c:v>
                </c:pt>
                <c:pt idx="2">
                  <c:v>0</c:v>
                </c:pt>
              </c:numCache>
            </c:numRef>
          </c:val>
          <c:extLst>
            <c:ext xmlns:c16="http://schemas.microsoft.com/office/drawing/2014/chart" uri="{C3380CC4-5D6E-409C-BE32-E72D297353CC}">
              <c16:uniqueId val="{00000000-DFA3-4799-8A09-48789517DDA5}"/>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[nhaa-2024-table-4-outcome-being-environmentally-responsible.xlsx]workings!PivotTable19</c:name>
    <c:fmtId val="3"/>
  </c:pivotSource>
  <c:chart>
    <c:title>
      <c:tx>
        <c:strRef>
          <c:f>workings!$Q$5</c:f>
          <c:strCache>
            <c:ptCount val="1"/>
            <c:pt idx="0">
              <c:v> South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702472"/>
          </a:solidFill>
          <a:ln>
            <a:noFill/>
          </a:ln>
          <a:effectLst/>
        </c:spPr>
      </c:pivotFmt>
      <c:pivotFmt>
        <c:idx val="1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8392C3"/>
          </a:solidFill>
          <a:ln>
            <a:noFill/>
          </a:ln>
          <a:effectLst/>
        </c:spPr>
      </c:pivotFmt>
      <c:pivotFmt>
        <c:idx val="1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8392C3"/>
          </a:solidFill>
          <a:ln>
            <a:noFill/>
          </a:ln>
          <a:effectLst/>
        </c:spPr>
      </c:pivotFmt>
      <c:pivotFmt>
        <c:idx val="1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8787C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787C9"/>
          </a:solidFill>
          <a:ln>
            <a:noFill/>
          </a:ln>
          <a:effectLst/>
        </c:spPr>
      </c:pivotFmt>
      <c:pivotFmt>
        <c:idx val="21"/>
        <c:spPr>
          <a:solidFill>
            <a:srgbClr val="8787C9"/>
          </a:solidFill>
          <a:ln>
            <a:noFill/>
          </a:ln>
          <a:effectLst/>
        </c:spPr>
      </c:pivotFmt>
      <c:pivotFmt>
        <c:idx val="22"/>
        <c:spPr>
          <a:solidFill>
            <a:srgbClr val="8787C9"/>
          </a:solidFill>
          <a:ln>
            <a:noFill/>
          </a:ln>
          <a:effectLst/>
        </c:spPr>
      </c:pivotFmt>
      <c:pivotFmt>
        <c:idx val="23"/>
        <c:spPr>
          <a:solidFill>
            <a:srgbClr val="9C46A3"/>
          </a:solidFill>
          <a:ln>
            <a:noFill/>
          </a:ln>
          <a:effectLst/>
        </c:spPr>
      </c:pivotFmt>
      <c:pivotFmt>
        <c:idx val="24"/>
        <c:spPr>
          <a:solidFill>
            <a:srgbClr val="8787C9"/>
          </a:solidFill>
          <a:ln>
            <a:noFill/>
          </a:ln>
          <a:effectLst/>
        </c:spPr>
      </c:pivotFmt>
      <c:pivotFmt>
        <c:idx val="25"/>
        <c:spPr>
          <a:solidFill>
            <a:srgbClr val="8787C9"/>
          </a:solidFill>
          <a:ln>
            <a:noFill/>
          </a:ln>
          <a:effectLst/>
        </c:spPr>
      </c:pivotFmt>
      <c:pivotFmt>
        <c:idx val="26"/>
        <c:spPr>
          <a:solidFill>
            <a:srgbClr val="8787C9"/>
          </a:solidFill>
          <a:ln>
            <a:noFill/>
          </a:ln>
          <a:effectLst/>
        </c:spPr>
      </c:pivotFmt>
      <c:pivotFmt>
        <c:idx val="27"/>
        <c:spPr>
          <a:solidFill>
            <a:srgbClr val="8787C9"/>
          </a:solidFill>
          <a:ln>
            <a:noFill/>
          </a:ln>
          <a:effectLst/>
        </c:spPr>
      </c:pivotFmt>
      <c:pivotFmt>
        <c:idx val="28"/>
        <c:spPr>
          <a:solidFill>
            <a:srgbClr val="8787C9"/>
          </a:solidFill>
          <a:ln>
            <a:noFill/>
          </a:ln>
          <a:effectLst/>
        </c:spPr>
      </c:pivotFmt>
      <c:pivotFmt>
        <c:idx val="29"/>
        <c:spPr>
          <a:solidFill>
            <a:srgbClr val="8787C9"/>
          </a:solidFill>
          <a:ln>
            <a:noFill/>
          </a:ln>
          <a:effectLst/>
        </c:spPr>
      </c:pivotFmt>
    </c:pivotFmts>
    <c:plotArea>
      <c:layout/>
      <c:barChart>
        <c:barDir val="col"/>
        <c:grouping val="clustered"/>
        <c:varyColors val="0"/>
        <c:ser>
          <c:idx val="0"/>
          <c:order val="0"/>
          <c:tx>
            <c:strRef>
              <c:f>workings!$Q$5</c:f>
              <c:strCache>
                <c:ptCount val="1"/>
                <c:pt idx="0">
                  <c:v>Total</c:v>
                </c:pt>
              </c:strCache>
            </c:strRef>
          </c:tx>
          <c:spPr>
            <a:solidFill>
              <a:srgbClr val="8787C9"/>
            </a:solidFill>
            <a:ln>
              <a:noFill/>
            </a:ln>
            <a:effectLst/>
          </c:spPr>
          <c:invertIfNegative val="0"/>
          <c:dPt>
            <c:idx val="0"/>
            <c:invertIfNegative val="0"/>
            <c:bubble3D val="0"/>
            <c:extLst>
              <c:ext xmlns:c16="http://schemas.microsoft.com/office/drawing/2014/chart" uri="{C3380CC4-5D6E-409C-BE32-E72D297353CC}">
                <c16:uniqueId val="{00000001-86D1-478A-BFB0-2ADDF255A358}"/>
              </c:ext>
            </c:extLst>
          </c:dPt>
          <c:dPt>
            <c:idx val="1"/>
            <c:invertIfNegative val="0"/>
            <c:bubble3D val="0"/>
            <c:extLst>
              <c:ext xmlns:c16="http://schemas.microsoft.com/office/drawing/2014/chart" uri="{C3380CC4-5D6E-409C-BE32-E72D297353CC}">
                <c16:uniqueId val="{00000003-86D1-478A-BFB0-2ADDF255A358}"/>
              </c:ext>
            </c:extLst>
          </c:dPt>
          <c:dPt>
            <c:idx val="2"/>
            <c:invertIfNegative val="0"/>
            <c:bubble3D val="0"/>
            <c:extLst>
              <c:ext xmlns:c16="http://schemas.microsoft.com/office/drawing/2014/chart" uri="{C3380CC4-5D6E-409C-BE32-E72D297353CC}">
                <c16:uniqueId val="{00000004-1748-49A2-8622-72131E22E7E5}"/>
              </c:ext>
            </c:extLst>
          </c:dPt>
          <c:dPt>
            <c:idx val="5"/>
            <c:invertIfNegative val="0"/>
            <c:bubble3D val="0"/>
            <c:extLst>
              <c:ext xmlns:c16="http://schemas.microsoft.com/office/drawing/2014/chart" uri="{C3380CC4-5D6E-409C-BE32-E72D297353CC}">
                <c16:uniqueId val="{00000004-7CB6-4878-AC7F-5482B22FA9CA}"/>
              </c:ext>
            </c:extLst>
          </c:dPt>
          <c:dPt>
            <c:idx val="6"/>
            <c:invertIfNegative val="0"/>
            <c:bubble3D val="0"/>
            <c:extLst>
              <c:ext xmlns:c16="http://schemas.microsoft.com/office/drawing/2014/chart" uri="{C3380CC4-5D6E-409C-BE32-E72D297353CC}">
                <c16:uniqueId val="{00000006-7CB6-4878-AC7F-5482B22FA9CA}"/>
              </c:ext>
            </c:extLst>
          </c:dPt>
          <c:dPt>
            <c:idx val="7"/>
            <c:invertIfNegative val="0"/>
            <c:bubble3D val="0"/>
            <c:extLst>
              <c:ext xmlns:c16="http://schemas.microsoft.com/office/drawing/2014/chart" uri="{C3380CC4-5D6E-409C-BE32-E72D297353CC}">
                <c16:uniqueId val="{00000008-7CB6-4878-AC7F-5482B22FA9C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4"/>
                <c:pt idx="0">
                  <c:v>2020-21</c:v>
                </c:pt>
                <c:pt idx="1">
                  <c:v>2021-22</c:v>
                </c:pt>
                <c:pt idx="2">
                  <c:v>2022-23</c:v>
                </c:pt>
                <c:pt idx="3">
                  <c:v>2023-24</c:v>
                </c:pt>
              </c:strCache>
            </c:strRef>
          </c:cat>
          <c:val>
            <c:numRef>
              <c:f>workings!$Q$5</c:f>
              <c:numCache>
                <c:formatCode>General</c:formatCode>
                <c:ptCount val="4"/>
                <c:pt idx="0">
                  <c:v>8</c:v>
                </c:pt>
                <c:pt idx="1">
                  <c:v>8</c:v>
                </c:pt>
                <c:pt idx="2">
                  <c:v>9</c:v>
                </c:pt>
              </c:numCache>
            </c:numRef>
          </c:val>
          <c:extLst>
            <c:ext xmlns:c16="http://schemas.microsoft.com/office/drawing/2014/chart" uri="{C3380CC4-5D6E-409C-BE32-E72D297353CC}">
              <c16:uniqueId val="{00000000-A43A-4052-A3BA-049C9E6BF631}"/>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[nhaa-2024-table-4-outcome-being-environmentally-responsible.xlsx]workings!PivotTable20</c:name>
    <c:fmtId val="3"/>
  </c:pivotSource>
  <c:chart>
    <c:title>
      <c:tx>
        <c:strRef>
          <c:f>workings!$T$5</c:f>
          <c:strCache>
            <c:ptCount val="1"/>
            <c:pt idx="0">
              <c:v> South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702472"/>
          </a:solidFill>
          <a:ln>
            <a:noFill/>
          </a:ln>
          <a:effectLst/>
        </c:spPr>
      </c:pivotFmt>
      <c:pivotFmt>
        <c:idx val="1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8392C3"/>
          </a:solidFill>
          <a:ln>
            <a:noFill/>
          </a:ln>
          <a:effectLst/>
        </c:spPr>
      </c:pivotFmt>
      <c:pivotFmt>
        <c:idx val="1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8392C3"/>
          </a:solidFill>
          <a:ln>
            <a:noFill/>
          </a:ln>
          <a:effectLst/>
        </c:spPr>
      </c:pivotFmt>
      <c:pivotFmt>
        <c:idx val="1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9C46A3"/>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9C46A3"/>
          </a:solidFill>
          <a:ln>
            <a:noFill/>
          </a:ln>
          <a:effectLst/>
        </c:spPr>
      </c:pivotFmt>
    </c:pivotFmts>
    <c:plotArea>
      <c:layout/>
      <c:barChart>
        <c:barDir val="col"/>
        <c:grouping val="clustered"/>
        <c:varyColors val="0"/>
        <c:ser>
          <c:idx val="0"/>
          <c:order val="0"/>
          <c:tx>
            <c:strRef>
              <c:f>workings!$T$5</c:f>
              <c:strCache>
                <c:ptCount val="1"/>
                <c:pt idx="0">
                  <c:v>Total</c:v>
                </c:pt>
              </c:strCache>
            </c:strRef>
          </c:tx>
          <c:spPr>
            <a:solidFill>
              <a:srgbClr val="9C46A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4"/>
                <c:pt idx="0">
                  <c:v>2020-21</c:v>
                </c:pt>
                <c:pt idx="1">
                  <c:v>2021-22</c:v>
                </c:pt>
                <c:pt idx="2">
                  <c:v>2022-23</c:v>
                </c:pt>
                <c:pt idx="3">
                  <c:v>2023-24</c:v>
                </c:pt>
              </c:strCache>
            </c:strRef>
          </c:cat>
          <c:val>
            <c:numRef>
              <c:f>workings!$T$5</c:f>
              <c:numCache>
                <c:formatCode>General</c:formatCode>
                <c:ptCount val="4"/>
                <c:pt idx="0">
                  <c:v>3</c:v>
                </c:pt>
                <c:pt idx="1">
                  <c:v>3</c:v>
                </c:pt>
                <c:pt idx="2">
                  <c:v>3</c:v>
                </c:pt>
              </c:numCache>
            </c:numRef>
          </c:val>
          <c:extLst>
            <c:ext xmlns:c16="http://schemas.microsoft.com/office/drawing/2014/chart" uri="{C3380CC4-5D6E-409C-BE32-E72D297353CC}">
              <c16:uniqueId val="{00000000-6641-4B8F-B620-56972259C629}"/>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image" Target="../media/image2.png"/><Relationship Id="rId4" Type="http://schemas.openxmlformats.org/officeDocument/2006/relationships/chart" Target="../charts/chart3.xml"/><Relationship Id="rId9" Type="http://schemas.openxmlformats.org/officeDocument/2006/relationships/customXml" Target="../ink/ink1.xml"/></Relationships>
</file>

<file path=xl/drawings/_rels/drawing2.xml.rels><?xml version="1.0" encoding="UTF-8" standalone="yes"?>
<Relationships xmlns="http://schemas.openxmlformats.org/package/2006/relationships"><Relationship Id="rId8" Type="http://schemas.openxmlformats.org/officeDocument/2006/relationships/customXml" Target="../ink/ink8.xml"/><Relationship Id="rId3" Type="http://schemas.openxmlformats.org/officeDocument/2006/relationships/customXml" Target="../ink/ink3.xml"/><Relationship Id="rId7" Type="http://schemas.openxmlformats.org/officeDocument/2006/relationships/customXml" Target="../ink/ink7.xml"/><Relationship Id="rId2" Type="http://schemas.openxmlformats.org/officeDocument/2006/relationships/image" Target="../media/image2.png"/><Relationship Id="rId1" Type="http://schemas.openxmlformats.org/officeDocument/2006/relationships/customXml" Target="../ink/ink2.xml"/><Relationship Id="rId6" Type="http://schemas.openxmlformats.org/officeDocument/2006/relationships/customXml" Target="../ink/ink6.xml"/><Relationship Id="rId5" Type="http://schemas.openxmlformats.org/officeDocument/2006/relationships/customXml" Target="../ink/ink5.xml"/><Relationship Id="rId4" Type="http://schemas.openxmlformats.org/officeDocument/2006/relationships/customXml" Target="../ink/ink4.xml"/><Relationship Id="rId9" Type="http://schemas.openxmlformats.org/officeDocument/2006/relationships/customXml" Target="../ink/ink9.xml"/></Relationships>
</file>

<file path=xl/drawings/drawing1.xml><?xml version="1.0" encoding="utf-8"?>
<xdr:wsDr xmlns:xdr="http://schemas.openxmlformats.org/drawingml/2006/spreadsheetDrawing" xmlns:a="http://schemas.openxmlformats.org/drawingml/2006/main">
  <xdr:twoCellAnchor>
    <xdr:from>
      <xdr:col>20</xdr:col>
      <xdr:colOff>534987</xdr:colOff>
      <xdr:row>0</xdr:row>
      <xdr:rowOff>1756</xdr:rowOff>
    </xdr:from>
    <xdr:to>
      <xdr:col>23</xdr:col>
      <xdr:colOff>331234</xdr:colOff>
      <xdr:row>3</xdr:row>
      <xdr:rowOff>64925</xdr:rowOff>
    </xdr:to>
    <xdr:pic>
      <xdr:nvPicPr>
        <xdr:cNvPr id="3" name="Picture 2" descr="Office of Rail and Road's Logo">
          <a:extLst>
            <a:ext uri="{FF2B5EF4-FFF2-40B4-BE49-F238E27FC236}">
              <a16:creationId xmlns:a16="http://schemas.microsoft.com/office/drawing/2014/main" id="{DA14678A-41DE-42F0-A1AF-598A9F96714C}"/>
            </a:ext>
          </a:extLst>
        </xdr:cNvPr>
        <xdr:cNvPicPr>
          <a:picLocks noChangeAspect="1"/>
        </xdr:cNvPicPr>
      </xdr:nvPicPr>
      <xdr:blipFill>
        <a:blip xmlns:r="http://schemas.openxmlformats.org/officeDocument/2006/relationships" r:embed="rId1"/>
        <a:stretch>
          <a:fillRect/>
        </a:stretch>
      </xdr:blipFill>
      <xdr:spPr>
        <a:xfrm>
          <a:off x="12339637" y="1756"/>
          <a:ext cx="1605997" cy="615619"/>
        </a:xfrm>
        <a:prstGeom prst="rect">
          <a:avLst/>
        </a:prstGeom>
      </xdr:spPr>
    </xdr:pic>
    <xdr:clientData/>
  </xdr:twoCellAnchor>
  <xdr:twoCellAnchor>
    <xdr:from>
      <xdr:col>20</xdr:col>
      <xdr:colOff>317509</xdr:colOff>
      <xdr:row>4</xdr:row>
      <xdr:rowOff>34000</xdr:rowOff>
    </xdr:from>
    <xdr:to>
      <xdr:col>23</xdr:col>
      <xdr:colOff>194612</xdr:colOff>
      <xdr:row>4</xdr:row>
      <xdr:rowOff>231824</xdr:rowOff>
    </xdr:to>
    <xdr:sp macro="" textlink="">
      <xdr:nvSpPr>
        <xdr:cNvPr id="4" name="TextBox 3">
          <a:extLst>
            <a:ext uri="{FF2B5EF4-FFF2-40B4-BE49-F238E27FC236}">
              <a16:creationId xmlns:a16="http://schemas.microsoft.com/office/drawing/2014/main" id="{DEE44730-1B09-4A76-A8DD-8D7744DE834A}"/>
            </a:ext>
          </a:extLst>
        </xdr:cNvPr>
        <xdr:cNvSpPr txBox="1"/>
      </xdr:nvSpPr>
      <xdr:spPr>
        <a:xfrm>
          <a:off x="12122159" y="770600"/>
          <a:ext cx="1686853" cy="14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2024</a:t>
          </a:r>
        </a:p>
      </xdr:txBody>
    </xdr:sp>
    <xdr:clientData/>
  </xdr:twoCellAnchor>
  <xdr:twoCellAnchor>
    <xdr:from>
      <xdr:col>1</xdr:col>
      <xdr:colOff>45379</xdr:colOff>
      <xdr:row>10</xdr:row>
      <xdr:rowOff>93633</xdr:rowOff>
    </xdr:from>
    <xdr:to>
      <xdr:col>6</xdr:col>
      <xdr:colOff>322262</xdr:colOff>
      <xdr:row>25</xdr:row>
      <xdr:rowOff>95250</xdr:rowOff>
    </xdr:to>
    <xdr:sp macro="" textlink="">
      <xdr:nvSpPr>
        <xdr:cNvPr id="6" name="Rectangle 5" descr="Key performance indicators and performance indicators selection box">
          <a:extLst>
            <a:ext uri="{FF2B5EF4-FFF2-40B4-BE49-F238E27FC236}">
              <a16:creationId xmlns:a16="http://schemas.microsoft.com/office/drawing/2014/main" id="{45949F70-FB78-44AB-9CD0-3A0584EB2A14}"/>
            </a:ext>
          </a:extLst>
        </xdr:cNvPr>
        <xdr:cNvSpPr/>
      </xdr:nvSpPr>
      <xdr:spPr>
        <a:xfrm>
          <a:off x="357106" y="2665384"/>
          <a:ext cx="3394156" cy="3196821"/>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455386</xdr:colOff>
      <xdr:row>10</xdr:row>
      <xdr:rowOff>97943</xdr:rowOff>
    </xdr:from>
    <xdr:to>
      <xdr:col>15</xdr:col>
      <xdr:colOff>119945</xdr:colOff>
      <xdr:row>16</xdr:row>
      <xdr:rowOff>54429</xdr:rowOff>
    </xdr:to>
    <xdr:sp macro="" textlink="">
      <xdr:nvSpPr>
        <xdr:cNvPr id="10" name="Rectangle 9" descr="Shows best and worst performing region and comparison to National Highways.">
          <a:extLst>
            <a:ext uri="{FF2B5EF4-FFF2-40B4-BE49-F238E27FC236}">
              <a16:creationId xmlns:a16="http://schemas.microsoft.com/office/drawing/2014/main" id="{7B9C08E7-89FE-438D-9878-6E8478969BC1}"/>
            </a:ext>
          </a:extLst>
        </xdr:cNvPr>
        <xdr:cNvSpPr/>
      </xdr:nvSpPr>
      <xdr:spPr>
        <a:xfrm>
          <a:off x="3951621" y="3022678"/>
          <a:ext cx="5424383" cy="1245163"/>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455385</xdr:colOff>
      <xdr:row>70</xdr:row>
      <xdr:rowOff>57333</xdr:rowOff>
    </xdr:from>
    <xdr:to>
      <xdr:col>23</xdr:col>
      <xdr:colOff>142874</xdr:colOff>
      <xdr:row>99</xdr:row>
      <xdr:rowOff>0</xdr:rowOff>
    </xdr:to>
    <xdr:grpSp>
      <xdr:nvGrpSpPr>
        <xdr:cNvPr id="14" name="Group 13" descr="Commentary notes and change in methodology.">
          <a:extLst>
            <a:ext uri="{FF2B5EF4-FFF2-40B4-BE49-F238E27FC236}">
              <a16:creationId xmlns:a16="http://schemas.microsoft.com/office/drawing/2014/main" id="{C5744DBE-3784-4039-8AB6-F1C8A368D2F5}"/>
            </a:ext>
          </a:extLst>
        </xdr:cNvPr>
        <xdr:cNvGrpSpPr/>
      </xdr:nvGrpSpPr>
      <xdr:grpSpPr>
        <a:xfrm>
          <a:off x="3860573" y="14451989"/>
          <a:ext cx="10346757" cy="5467167"/>
          <a:chOff x="2905578" y="13537478"/>
          <a:chExt cx="10208810" cy="2883841"/>
        </a:xfrm>
      </xdr:grpSpPr>
      <xdr:sp macro="" textlink="">
        <xdr:nvSpPr>
          <xdr:cNvPr id="15" name="Rectangle 14">
            <a:extLst>
              <a:ext uri="{FF2B5EF4-FFF2-40B4-BE49-F238E27FC236}">
                <a16:creationId xmlns:a16="http://schemas.microsoft.com/office/drawing/2014/main" id="{686EB71C-1889-1616-01F9-786F656CE008}"/>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6" name="TextBox 15">
            <a:extLst>
              <a:ext uri="{FF2B5EF4-FFF2-40B4-BE49-F238E27FC236}">
                <a16:creationId xmlns:a16="http://schemas.microsoft.com/office/drawing/2014/main" id="{F67BB3FF-8EFC-8D40-8672-647812B1C4B2}"/>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endParaRPr lang="en-GB" sz="1400" b="1">
              <a:latin typeface="Georgia" panose="02040502050405020303" pitchFamily="18" charset="0"/>
            </a:endParaRPr>
          </a:p>
          <a:p>
            <a:r>
              <a:rPr lang="en-GB" sz="1200" b="1" i="0" u="sng">
                <a:solidFill>
                  <a:schemeClr val="dk1"/>
                </a:solidFill>
                <a:effectLst/>
                <a:latin typeface="Arial" panose="020B0604020202020204" pitchFamily="34" charset="0"/>
                <a:ea typeface="+mn-ea"/>
                <a:cs typeface="Arial" panose="020B0604020202020204" pitchFamily="34" charset="0"/>
              </a:rPr>
              <a:t>As a result of changes in methodology, some</a:t>
            </a:r>
            <a:r>
              <a:rPr lang="en-GB" sz="1200" b="1" i="0" u="sng" baseline="0">
                <a:solidFill>
                  <a:schemeClr val="dk1"/>
                </a:solidFill>
                <a:effectLst/>
                <a:latin typeface="Arial" panose="020B0604020202020204" pitchFamily="34" charset="0"/>
                <a:ea typeface="+mn-ea"/>
                <a:cs typeface="Arial" panose="020B0604020202020204" pitchFamily="34" charset="0"/>
              </a:rPr>
              <a:t> </a:t>
            </a:r>
            <a:r>
              <a:rPr lang="en-GB" sz="1200" b="1" i="0" u="sng">
                <a:solidFill>
                  <a:schemeClr val="dk1"/>
                </a:solidFill>
                <a:effectLst/>
                <a:latin typeface="Arial" panose="020B0604020202020204" pitchFamily="34" charset="0"/>
                <a:ea typeface="+mn-ea"/>
                <a:cs typeface="Arial" panose="020B0604020202020204" pitchFamily="34" charset="0"/>
              </a:rPr>
              <a:t>figures for road period 1 and road period 2 may not be directly comparable.</a:t>
            </a:r>
            <a:endParaRPr lang="en-GB" sz="1200" b="1" u="sng">
              <a:latin typeface="Arial" panose="020B0604020202020204" pitchFamily="34" charset="0"/>
              <a:cs typeface="Arial" panose="020B0604020202020204" pitchFamily="34" charset="0"/>
            </a:endParaRPr>
          </a:p>
          <a:p>
            <a:endParaRPr lang="en-GB" sz="1200">
              <a:latin typeface="Georgia" panose="02040502050405020303" pitchFamily="18" charset="0"/>
            </a:endParaRPr>
          </a:p>
          <a:p>
            <a:r>
              <a:rPr lang="en-GB" sz="1200" b="0">
                <a:effectLst/>
                <a:latin typeface="Arial" panose="020B0604020202020204" pitchFamily="34" charset="0"/>
                <a:cs typeface="Arial" panose="020B0604020202020204" pitchFamily="34" charset="0"/>
              </a:rPr>
              <a:t>1.</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Data for 2020-21 and 2021-22 is affected by reduced travel demand due to the impact of the pandemic.</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2.</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Noise Important Areas, as identified by DEFRA, on all trunk roads and motorways forming the strategic road network. This includes roads managed by DBFO organisations.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3.</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Habitat changes across all National Highways activities, where such activities commence within road period 2.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4.</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A biodiversity unit is defined as a standard quantification of biodiversity made up of area and quality of habitats.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5.</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Bring links agreed with the department and based on the Pollution Climate Mapping model into compliance with legal NO2 limits in the shortest timescales possible.</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6.</a:t>
            </a:r>
            <a:r>
              <a:rPr lang="en-GB" sz="1200" b="0" baseline="0">
                <a:effectLst/>
                <a:latin typeface="Arial" panose="020B0604020202020204" pitchFamily="34" charset="0"/>
                <a:cs typeface="Arial" panose="020B0604020202020204" pitchFamily="34" charset="0"/>
              </a:rPr>
              <a:t> Supply Chain Carbon Emissions PI - this metric became operational from 1 April 2021. All direct suppliers and major projects under National Highways management involved in the construction, maintenance and operation of the network. The normalised figure excludes Design, Build, Finance and Operate (DBFO) contracts.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7.</a:t>
            </a:r>
            <a:r>
              <a:rPr lang="en-GB" sz="1200" b="0" baseline="0">
                <a:effectLst/>
                <a:latin typeface="Arial" panose="020B0604020202020204" pitchFamily="34" charset="0"/>
                <a:cs typeface="Arial" panose="020B0604020202020204" pitchFamily="34" charset="0"/>
              </a:rPr>
              <a:t> Condition of cultural assets PI - </a:t>
            </a:r>
            <a:r>
              <a:rPr lang="en-GB" sz="1200" b="0">
                <a:effectLst/>
                <a:latin typeface="Arial" panose="020B0604020202020204" pitchFamily="34" charset="0"/>
                <a:cs typeface="Arial" panose="020B0604020202020204" pitchFamily="34" charset="0"/>
              </a:rPr>
              <a:t>"All culturally significant assets owned by National Highways on the strategic road network, as defined by: </a:t>
            </a:r>
          </a:p>
          <a:p>
            <a:r>
              <a:rPr lang="en-GB" sz="1200" b="0">
                <a:effectLst/>
                <a:latin typeface="Arial" panose="020B0604020202020204" pitchFamily="34" charset="0"/>
                <a:cs typeface="Arial" panose="020B0604020202020204" pitchFamily="34" charset="0"/>
              </a:rPr>
              <a:t>• They are listed in at least one of the data sources (see input data below) </a:t>
            </a:r>
          </a:p>
          <a:p>
            <a:r>
              <a:rPr lang="en-GB" sz="1200" b="0">
                <a:effectLst/>
                <a:latin typeface="Arial" panose="020B0604020202020204" pitchFamily="34" charset="0"/>
                <a:cs typeface="Arial" panose="020B0604020202020204" pitchFamily="34" charset="0"/>
              </a:rPr>
              <a:t>• They have a cultural heritage asset plan </a:t>
            </a:r>
          </a:p>
          <a:p>
            <a:r>
              <a:rPr lang="en-GB" sz="1200" b="0">
                <a:effectLst/>
                <a:latin typeface="Arial" panose="020B0604020202020204" pitchFamily="34" charset="0"/>
                <a:cs typeface="Arial" panose="020B0604020202020204" pitchFamily="34" charset="0"/>
              </a:rPr>
              <a:t>• They are located on or overlapping with National Highways land </a:t>
            </a:r>
          </a:p>
          <a:p>
            <a:r>
              <a:rPr lang="en-GB" sz="1200" b="0">
                <a:effectLst/>
                <a:latin typeface="Arial" panose="020B0604020202020204" pitchFamily="34" charset="0"/>
                <a:cs typeface="Arial" panose="020B0604020202020204" pitchFamily="34" charset="0"/>
              </a:rPr>
              <a:t>• They meet these criteria after the National Highways asset on the land concerned has been commissioned"</a:t>
            </a:r>
          </a:p>
          <a:p>
            <a:endParaRPr lang="en-GB" sz="1200" b="0">
              <a:effectLst/>
              <a:latin typeface="Arial" panose="020B0604020202020204" pitchFamily="34" charset="0"/>
              <a:cs typeface="Arial" panose="020B0604020202020204" pitchFamily="34" charset="0"/>
            </a:endParaRPr>
          </a:p>
          <a:p>
            <a:endParaRPr lang="en-GB" sz="1200" b="0">
              <a:effectLst/>
              <a:latin typeface="Arial" panose="020B0604020202020204" pitchFamily="34" charset="0"/>
              <a:cs typeface="Arial" panose="020B0604020202020204" pitchFamily="34" charset="0"/>
            </a:endParaRPr>
          </a:p>
        </xdr:txBody>
      </xdr:sp>
    </xdr:grpSp>
    <xdr:clientData/>
  </xdr:twoCellAnchor>
  <xdr:twoCellAnchor>
    <xdr:from>
      <xdr:col>1</xdr:col>
      <xdr:colOff>119062</xdr:colOff>
      <xdr:row>10</xdr:row>
      <xdr:rowOff>98777</xdr:rowOff>
    </xdr:from>
    <xdr:to>
      <xdr:col>6</xdr:col>
      <xdr:colOff>246063</xdr:colOff>
      <xdr:row>11</xdr:row>
      <xdr:rowOff>198437</xdr:rowOff>
    </xdr:to>
    <xdr:sp macro="" textlink="">
      <xdr:nvSpPr>
        <xdr:cNvPr id="17" name="TextBox 16">
          <a:extLst>
            <a:ext uri="{FF2B5EF4-FFF2-40B4-BE49-F238E27FC236}">
              <a16:creationId xmlns:a16="http://schemas.microsoft.com/office/drawing/2014/main" id="{3FA41BC8-1AE2-49BF-953E-F870CFF22599}"/>
            </a:ext>
          </a:extLst>
        </xdr:cNvPr>
        <xdr:cNvSpPr txBox="1"/>
      </xdr:nvSpPr>
      <xdr:spPr>
        <a:xfrm>
          <a:off x="728662" y="1940277"/>
          <a:ext cx="2565401" cy="27111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16</xdr:col>
      <xdr:colOff>16832</xdr:colOff>
      <xdr:row>10</xdr:row>
      <xdr:rowOff>85847</xdr:rowOff>
    </xdr:from>
    <xdr:to>
      <xdr:col>22</xdr:col>
      <xdr:colOff>511969</xdr:colOff>
      <xdr:row>16</xdr:row>
      <xdr:rowOff>47095</xdr:rowOff>
    </xdr:to>
    <xdr:sp macro="" textlink="">
      <xdr:nvSpPr>
        <xdr:cNvPr id="19" name="Rectangle 18" descr="This box displays the financial years commencing April 2015 to March 2020 for road period 1 and April 2020 to March 2025 for road period 2.">
          <a:extLst>
            <a:ext uri="{FF2B5EF4-FFF2-40B4-BE49-F238E27FC236}">
              <a16:creationId xmlns:a16="http://schemas.microsoft.com/office/drawing/2014/main" id="{BCADC2C3-E891-471F-911A-49F35AFA60F3}"/>
            </a:ext>
          </a:extLst>
        </xdr:cNvPr>
        <xdr:cNvSpPr/>
      </xdr:nvSpPr>
      <xdr:spPr>
        <a:xfrm>
          <a:off x="9994270" y="2645691"/>
          <a:ext cx="4281324" cy="1104248"/>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16</xdr:col>
      <xdr:colOff>74658</xdr:colOff>
      <xdr:row>10</xdr:row>
      <xdr:rowOff>133011</xdr:rowOff>
    </xdr:from>
    <xdr:to>
      <xdr:col>22</xdr:col>
      <xdr:colOff>469265</xdr:colOff>
      <xdr:row>15</xdr:row>
      <xdr:rowOff>188511</xdr:rowOff>
    </xdr:to>
    <mc:AlternateContent xmlns:mc="http://schemas.openxmlformats.org/markup-compatibility/2006" xmlns:a14="http://schemas.microsoft.com/office/drawing/2010/main">
      <mc:Choice Requires="a14">
        <xdr:graphicFrame macro="">
          <xdr:nvGraphicFramePr>
            <xdr:cNvPr id="20" name="Year 1">
              <a:extLst>
                <a:ext uri="{FF2B5EF4-FFF2-40B4-BE49-F238E27FC236}">
                  <a16:creationId xmlns:a16="http://schemas.microsoft.com/office/drawing/2014/main" id="{09212AE7-A5A3-4C51-AE93-63C1D72856F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0007872" y="2718368"/>
              <a:ext cx="4273096" cy="1008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65294</xdr:colOff>
      <xdr:row>12</xdr:row>
      <xdr:rowOff>47623</xdr:rowOff>
    </xdr:from>
    <xdr:to>
      <xdr:col>6</xdr:col>
      <xdr:colOff>275834</xdr:colOff>
      <xdr:row>25</xdr:row>
      <xdr:rowOff>45117</xdr:rowOff>
    </xdr:to>
    <mc:AlternateContent xmlns:mc="http://schemas.openxmlformats.org/markup-compatibility/2006" xmlns:a14="http://schemas.microsoft.com/office/drawing/2010/main">
      <mc:Choice Requires="a14">
        <xdr:graphicFrame macro="">
          <xdr:nvGraphicFramePr>
            <xdr:cNvPr id="23" name="KPI 1">
              <a:extLst>
                <a:ext uri="{FF2B5EF4-FFF2-40B4-BE49-F238E27FC236}">
                  <a16:creationId xmlns:a16="http://schemas.microsoft.com/office/drawing/2014/main" id="{5FAF4DFB-7D64-4E4F-8003-E0304D9B930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KPI 1"/>
            </a:graphicData>
          </a:graphic>
        </xdr:graphicFrame>
      </mc:Choice>
      <mc:Fallback xmlns="">
        <xdr:sp macro="" textlink="">
          <xdr:nvSpPr>
            <xdr:cNvPr id="0" name=""/>
            <xdr:cNvSpPr>
              <a:spLocks noTextEdit="1"/>
            </xdr:cNvSpPr>
          </xdr:nvSpPr>
          <xdr:spPr>
            <a:xfrm>
              <a:off x="691223" y="3007177"/>
              <a:ext cx="3341453" cy="281667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21</xdr:row>
      <xdr:rowOff>0</xdr:rowOff>
    </xdr:from>
    <xdr:to>
      <xdr:col>23</xdr:col>
      <xdr:colOff>8397</xdr:colOff>
      <xdr:row>36</xdr:row>
      <xdr:rowOff>128333</xdr:rowOff>
    </xdr:to>
    <xdr:graphicFrame macro="">
      <xdr:nvGraphicFramePr>
        <xdr:cNvPr id="24" name="Chart 23" descr="This chart displays performance data for National Highways.">
          <a:extLst>
            <a:ext uri="{FF2B5EF4-FFF2-40B4-BE49-F238E27FC236}">
              <a16:creationId xmlns:a16="http://schemas.microsoft.com/office/drawing/2014/main" id="{C16AFCC7-01C5-49D1-97AF-E75373AC5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37</xdr:row>
      <xdr:rowOff>58119</xdr:rowOff>
    </xdr:from>
    <xdr:to>
      <xdr:col>12</xdr:col>
      <xdr:colOff>32964</xdr:colOff>
      <xdr:row>53</xdr:row>
      <xdr:rowOff>35262</xdr:rowOff>
    </xdr:to>
    <xdr:graphicFrame macro="">
      <xdr:nvGraphicFramePr>
        <xdr:cNvPr id="25" name="Chart 24" descr="This chart displays performance data for National Highways, Yorkshire and North East region">
          <a:extLst>
            <a:ext uri="{FF2B5EF4-FFF2-40B4-BE49-F238E27FC236}">
              <a16:creationId xmlns:a16="http://schemas.microsoft.com/office/drawing/2014/main" id="{EEE87B73-A351-4BE6-A928-7DCE5B60B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155538</xdr:colOff>
      <xdr:row>37</xdr:row>
      <xdr:rowOff>58119</xdr:rowOff>
    </xdr:from>
    <xdr:to>
      <xdr:col>17</xdr:col>
      <xdr:colOff>229324</xdr:colOff>
      <xdr:row>53</xdr:row>
      <xdr:rowOff>35262</xdr:rowOff>
    </xdr:to>
    <xdr:graphicFrame macro="">
      <xdr:nvGraphicFramePr>
        <xdr:cNvPr id="26" name="Chart 25" descr="This chart displays performance data for National Highways North West region.">
          <a:extLst>
            <a:ext uri="{FF2B5EF4-FFF2-40B4-BE49-F238E27FC236}">
              <a16:creationId xmlns:a16="http://schemas.microsoft.com/office/drawing/2014/main" id="{DB02BE73-381C-4514-A6E6-769063405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351897</xdr:colOff>
      <xdr:row>37</xdr:row>
      <xdr:rowOff>58119</xdr:rowOff>
    </xdr:from>
    <xdr:to>
      <xdr:col>23</xdr:col>
      <xdr:colOff>8397</xdr:colOff>
      <xdr:row>53</xdr:row>
      <xdr:rowOff>35262</xdr:rowOff>
    </xdr:to>
    <xdr:graphicFrame macro="">
      <xdr:nvGraphicFramePr>
        <xdr:cNvPr id="27" name="Chart 26" descr="This chart displays performance data for National Highways Midlands region.">
          <a:extLst>
            <a:ext uri="{FF2B5EF4-FFF2-40B4-BE49-F238E27FC236}">
              <a16:creationId xmlns:a16="http://schemas.microsoft.com/office/drawing/2014/main" id="{5D3FDA0E-B3DF-4911-8798-31A003121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53</xdr:row>
      <xdr:rowOff>145144</xdr:rowOff>
    </xdr:from>
    <xdr:to>
      <xdr:col>12</xdr:col>
      <xdr:colOff>32964</xdr:colOff>
      <xdr:row>69</xdr:row>
      <xdr:rowOff>123421</xdr:rowOff>
    </xdr:to>
    <xdr:graphicFrame macro="">
      <xdr:nvGraphicFramePr>
        <xdr:cNvPr id="29" name="Chart 28" descr="This chart displays performance data for National Highways East region.&#10;">
          <a:extLst>
            <a:ext uri="{FF2B5EF4-FFF2-40B4-BE49-F238E27FC236}">
              <a16:creationId xmlns:a16="http://schemas.microsoft.com/office/drawing/2014/main" id="{C8B528C1-3B87-4222-8C02-9D508AFEE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155538</xdr:colOff>
      <xdr:row>53</xdr:row>
      <xdr:rowOff>145144</xdr:rowOff>
    </xdr:from>
    <xdr:to>
      <xdr:col>17</xdr:col>
      <xdr:colOff>229324</xdr:colOff>
      <xdr:row>69</xdr:row>
      <xdr:rowOff>123421</xdr:rowOff>
    </xdr:to>
    <xdr:graphicFrame macro="">
      <xdr:nvGraphicFramePr>
        <xdr:cNvPr id="30" name="Chart 29" descr="This chart displays performance data for National Highways South East region&#10;">
          <a:extLst>
            <a:ext uri="{FF2B5EF4-FFF2-40B4-BE49-F238E27FC236}">
              <a16:creationId xmlns:a16="http://schemas.microsoft.com/office/drawing/2014/main" id="{390090B1-8CF6-4684-88DA-F59AC8495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351897</xdr:colOff>
      <xdr:row>53</xdr:row>
      <xdr:rowOff>145144</xdr:rowOff>
    </xdr:from>
    <xdr:to>
      <xdr:col>23</xdr:col>
      <xdr:colOff>8397</xdr:colOff>
      <xdr:row>69</xdr:row>
      <xdr:rowOff>123421</xdr:rowOff>
    </xdr:to>
    <xdr:graphicFrame macro="">
      <xdr:nvGraphicFramePr>
        <xdr:cNvPr id="31" name="Chart 30" descr="This chart displays performance data for National Highways South West region.">
          <a:extLst>
            <a:ext uri="{FF2B5EF4-FFF2-40B4-BE49-F238E27FC236}">
              <a16:creationId xmlns:a16="http://schemas.microsoft.com/office/drawing/2014/main" id="{0BD3E5BE-9419-45C8-890A-10D38703D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111678</xdr:colOff>
      <xdr:row>15</xdr:row>
      <xdr:rowOff>33188</xdr:rowOff>
    </xdr:from>
    <xdr:to>
      <xdr:col>8</xdr:col>
      <xdr:colOff>125922</xdr:colOff>
      <xdr:row>15</xdr:row>
      <xdr:rowOff>38310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Ink 6">
              <a:extLst>
                <a:ext uri="{FF2B5EF4-FFF2-40B4-BE49-F238E27FC236}">
                  <a16:creationId xmlns:a16="http://schemas.microsoft.com/office/drawing/2014/main" id="{84C1A233-532C-3C8E-A75C-B55B74DEB53A}"/>
                </a:ext>
              </a:extLst>
            </xdr14:cNvPr>
            <xdr14:cNvContentPartPr/>
          </xdr14:nvContentPartPr>
          <xdr14:nvPr macro=""/>
          <xdr14:xfrm>
            <a:off x="4840560" y="4016880"/>
            <a:ext cx="360" cy="360"/>
          </xdr14:xfrm>
        </xdr:contentPart>
      </mc:Choice>
      <mc:Fallback xmlns="">
        <xdr:pic>
          <xdr:nvPicPr>
            <xdr:cNvPr id="7" name="Ink 6">
              <a:extLst>
                <a:ext uri="{FF2B5EF4-FFF2-40B4-BE49-F238E27FC236}">
                  <a16:creationId xmlns:a16="http://schemas.microsoft.com/office/drawing/2014/main" id="{84C1A233-532C-3C8E-A75C-B55B74DEB53A}"/>
                </a:ext>
              </a:extLst>
            </xdr:cNvPr>
            <xdr:cNvPicPr/>
          </xdr:nvPicPr>
          <xdr:blipFill>
            <a:blip xmlns:r="http://schemas.openxmlformats.org/officeDocument/2006/relationships" r:embed="rId10"/>
            <a:stretch>
              <a:fillRect/>
            </a:stretch>
          </xdr:blipFill>
          <xdr:spPr>
            <a:xfrm>
              <a:off x="4836240" y="4012560"/>
              <a:ext cx="9000" cy="9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7</xdr:col>
      <xdr:colOff>353503</xdr:colOff>
      <xdr:row>3</xdr:row>
      <xdr:rowOff>1587</xdr:rowOff>
    </xdr:to>
    <mc:AlternateContent xmlns:mc="http://schemas.openxmlformats.org/markup-compatibility/2006" xmlns:a14="http://schemas.microsoft.com/office/drawing/2010/main">
      <mc:Choice Requires="a14">
        <xdr:graphicFrame macro="">
          <xdr:nvGraphicFramePr>
            <xdr:cNvPr id="6" name="Year">
              <a:extLst>
                <a:ext uri="{FF2B5EF4-FFF2-40B4-BE49-F238E27FC236}">
                  <a16:creationId xmlns:a16="http://schemas.microsoft.com/office/drawing/2014/main" id="{B73425CB-8FC7-CF56-B27B-E6531C1FE5A3}"/>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0" y="31750"/>
              <a:ext cx="5367161" cy="51293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1066447</xdr:colOff>
      <xdr:row>0</xdr:row>
      <xdr:rowOff>84843</xdr:rowOff>
    </xdr:from>
    <xdr:to>
      <xdr:col>22</xdr:col>
      <xdr:colOff>39670</xdr:colOff>
      <xdr:row>2</xdr:row>
      <xdr:rowOff>145168</xdr:rowOff>
    </xdr:to>
    <mc:AlternateContent xmlns:mc="http://schemas.openxmlformats.org/markup-compatibility/2006" xmlns:a14="http://schemas.microsoft.com/office/drawing/2010/main">
      <mc:Choice Requires="a14">
        <xdr:graphicFrame macro="">
          <xdr:nvGraphicFramePr>
            <xdr:cNvPr id="7" name="KPI">
              <a:extLst>
                <a:ext uri="{FF2B5EF4-FFF2-40B4-BE49-F238E27FC236}">
                  <a16:creationId xmlns:a16="http://schemas.microsoft.com/office/drawing/2014/main" id="{31D621DC-80A8-70C3-4D61-F38EA92FE504}"/>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6790972" y="84843"/>
              <a:ext cx="9780923" cy="4191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513750</xdr:colOff>
      <xdr:row>58</xdr:row>
      <xdr:rowOff>109275</xdr:rowOff>
    </xdr:from>
    <xdr:to>
      <xdr:col>8</xdr:col>
      <xdr:colOff>514110</xdr:colOff>
      <xdr:row>58</xdr:row>
      <xdr:rowOff>114397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8EA6A21-63D7-367B-CEF0-F80C9DCE5FC4}"/>
                </a:ext>
              </a:extLst>
            </xdr14:cNvPr>
            <xdr14:cNvContentPartPr/>
          </xdr14:nvContentPartPr>
          <xdr14:nvPr macro=""/>
          <xdr14:xfrm>
            <a:off x="7619400" y="9834300"/>
            <a:ext cx="360" cy="360"/>
          </xdr14:xfrm>
        </xdr:contentPart>
      </mc:Choice>
      <mc:Fallback xmlns="">
        <xdr:pic>
          <xdr:nvPicPr>
            <xdr:cNvPr id="2" name="Ink 1">
              <a:extLst>
                <a:ext uri="{FF2B5EF4-FFF2-40B4-BE49-F238E27FC236}">
                  <a16:creationId xmlns:a16="http://schemas.microsoft.com/office/drawing/2014/main" id="{08EA6A21-63D7-367B-CEF0-F80C9DCE5FC4}"/>
                </a:ext>
              </a:extLst>
            </xdr:cNvPr>
            <xdr:cNvPicPr/>
          </xdr:nvPicPr>
          <xdr:blipFill>
            <a:blip xmlns:r="http://schemas.openxmlformats.org/officeDocument/2006/relationships" r:embed="rId2"/>
            <a:stretch>
              <a:fillRect/>
            </a:stretch>
          </xdr:blipFill>
          <xdr:spPr>
            <a:xfrm>
              <a:off x="7615080" y="9829980"/>
              <a:ext cx="9000" cy="9000"/>
            </a:xfrm>
            <a:prstGeom prst="rect">
              <a:avLst/>
            </a:prstGeom>
          </xdr:spPr>
        </xdr:pic>
      </mc:Fallback>
    </mc:AlternateContent>
    <xdr:clientData/>
  </xdr:twoCellAnchor>
  <xdr:twoCellAnchor editAs="oneCell">
    <xdr:from>
      <xdr:col>2</xdr:col>
      <xdr:colOff>332865</xdr:colOff>
      <xdr:row>11</xdr:row>
      <xdr:rowOff>151980</xdr:rowOff>
    </xdr:from>
    <xdr:to>
      <xdr:col>2</xdr:col>
      <xdr:colOff>336400</xdr:colOff>
      <xdr:row>11</xdr:row>
      <xdr:rowOff>152340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5C8CC19-B85F-9E77-6457-49FE9F7B1892}"/>
                </a:ext>
              </a:extLst>
            </xdr14:cNvPr>
            <xdr14:cNvContentPartPr/>
          </xdr14:nvContentPartPr>
          <xdr14:nvPr macro=""/>
          <xdr14:xfrm>
            <a:off x="2418840" y="2247480"/>
            <a:ext cx="360" cy="360"/>
          </xdr14:xfrm>
        </xdr:contentPart>
      </mc:Choice>
      <mc:Fallback xmlns="">
        <xdr:pic>
          <xdr:nvPicPr>
            <xdr:cNvPr id="3" name="Ink 2">
              <a:extLst>
                <a:ext uri="{FF2B5EF4-FFF2-40B4-BE49-F238E27FC236}">
                  <a16:creationId xmlns:a16="http://schemas.microsoft.com/office/drawing/2014/main" id="{B5C8CC19-B85F-9E77-6457-49FE9F7B1892}"/>
                </a:ext>
              </a:extLst>
            </xdr:cNvPr>
            <xdr:cNvPicPr/>
          </xdr:nvPicPr>
          <xdr:blipFill>
            <a:blip xmlns:r="http://schemas.openxmlformats.org/officeDocument/2006/relationships" r:embed="rId2"/>
            <a:stretch>
              <a:fillRect/>
            </a:stretch>
          </xdr:blipFill>
          <xdr:spPr>
            <a:xfrm>
              <a:off x="2414520" y="2243160"/>
              <a:ext cx="9000" cy="9000"/>
            </a:xfrm>
            <a:prstGeom prst="rect">
              <a:avLst/>
            </a:prstGeom>
          </xdr:spPr>
        </xdr:pic>
      </mc:Fallback>
    </mc:AlternateContent>
    <xdr:clientData/>
  </xdr:twoCellAnchor>
  <xdr:twoCellAnchor editAs="oneCell">
    <xdr:from>
      <xdr:col>0</xdr:col>
      <xdr:colOff>385200</xdr:colOff>
      <xdr:row>24</xdr:row>
      <xdr:rowOff>61620</xdr:rowOff>
    </xdr:from>
    <xdr:to>
      <xdr:col>0</xdr:col>
      <xdr:colOff>393497</xdr:colOff>
      <xdr:row>24</xdr:row>
      <xdr:rowOff>66023</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919F27B6-9529-F190-C9BF-BE0EB0126A96}"/>
                </a:ext>
              </a:extLst>
            </xdr14:cNvPr>
            <xdr14:cNvContentPartPr/>
          </xdr14:nvContentPartPr>
          <xdr14:nvPr macro=""/>
          <xdr14:xfrm>
            <a:off x="385200" y="3300120"/>
            <a:ext cx="360" cy="360"/>
          </xdr14:xfrm>
        </xdr:contentPart>
      </mc:Choice>
      <mc:Fallback xmlns="">
        <xdr:pic>
          <xdr:nvPicPr>
            <xdr:cNvPr id="4" name="Ink 3">
              <a:extLst>
                <a:ext uri="{FF2B5EF4-FFF2-40B4-BE49-F238E27FC236}">
                  <a16:creationId xmlns:a16="http://schemas.microsoft.com/office/drawing/2014/main" id="{919F27B6-9529-F190-C9BF-BE0EB0126A96}"/>
                </a:ext>
              </a:extLst>
            </xdr:cNvPr>
            <xdr:cNvPicPr/>
          </xdr:nvPicPr>
          <xdr:blipFill>
            <a:blip xmlns:r="http://schemas.openxmlformats.org/officeDocument/2006/relationships" r:embed="rId2"/>
            <a:stretch>
              <a:fillRect/>
            </a:stretch>
          </xdr:blipFill>
          <xdr:spPr>
            <a:xfrm>
              <a:off x="380880" y="3295800"/>
              <a:ext cx="9000" cy="9000"/>
            </a:xfrm>
            <a:prstGeom prst="rect">
              <a:avLst/>
            </a:prstGeom>
          </xdr:spPr>
        </xdr:pic>
      </mc:Fallback>
    </mc:AlternateContent>
    <xdr:clientData/>
  </xdr:twoCellAnchor>
  <xdr:twoCellAnchor editAs="oneCell">
    <xdr:from>
      <xdr:col>1</xdr:col>
      <xdr:colOff>661440</xdr:colOff>
      <xdr:row>8</xdr:row>
      <xdr:rowOff>133080</xdr:rowOff>
    </xdr:from>
    <xdr:to>
      <xdr:col>1</xdr:col>
      <xdr:colOff>666562</xdr:colOff>
      <xdr:row>8</xdr:row>
      <xdr:rowOff>133440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185050CD-4FD1-2F23-774C-13294C40254D}"/>
                </a:ext>
              </a:extLst>
            </xdr14:cNvPr>
            <xdr14:cNvContentPartPr/>
          </xdr14:nvContentPartPr>
          <xdr14:nvPr macro=""/>
          <xdr14:xfrm>
            <a:off x="1194840" y="1657080"/>
            <a:ext cx="360" cy="360"/>
          </xdr14:xfrm>
        </xdr:contentPart>
      </mc:Choice>
      <mc:Fallback xmlns="">
        <xdr:pic>
          <xdr:nvPicPr>
            <xdr:cNvPr id="5" name="Ink 4">
              <a:extLst>
                <a:ext uri="{FF2B5EF4-FFF2-40B4-BE49-F238E27FC236}">
                  <a16:creationId xmlns:a16="http://schemas.microsoft.com/office/drawing/2014/main" id="{185050CD-4FD1-2F23-774C-13294C40254D}"/>
                </a:ext>
              </a:extLst>
            </xdr:cNvPr>
            <xdr:cNvPicPr/>
          </xdr:nvPicPr>
          <xdr:blipFill>
            <a:blip xmlns:r="http://schemas.openxmlformats.org/officeDocument/2006/relationships" r:embed="rId2"/>
            <a:stretch>
              <a:fillRect/>
            </a:stretch>
          </xdr:blipFill>
          <xdr:spPr>
            <a:xfrm>
              <a:off x="1190520" y="1652760"/>
              <a:ext cx="9000" cy="9000"/>
            </a:xfrm>
            <a:prstGeom prst="rect">
              <a:avLst/>
            </a:prstGeom>
          </xdr:spPr>
        </xdr:pic>
      </mc:Fallback>
    </mc:AlternateContent>
    <xdr:clientData/>
  </xdr:twoCellAnchor>
  <xdr:twoCellAnchor editAs="oneCell">
    <xdr:from>
      <xdr:col>1</xdr:col>
      <xdr:colOff>390000</xdr:colOff>
      <xdr:row>9</xdr:row>
      <xdr:rowOff>185220</xdr:rowOff>
    </xdr:from>
    <xdr:to>
      <xdr:col>1</xdr:col>
      <xdr:colOff>393535</xdr:colOff>
      <xdr:row>10</xdr:row>
      <xdr:rowOff>7250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0" name="Ink 9">
              <a:extLst>
                <a:ext uri="{FF2B5EF4-FFF2-40B4-BE49-F238E27FC236}">
                  <a16:creationId xmlns:a16="http://schemas.microsoft.com/office/drawing/2014/main" id="{45230554-073F-8053-B91A-56E8445D1C8F}"/>
                </a:ext>
              </a:extLst>
            </xdr14:cNvPr>
            <xdr14:cNvContentPartPr/>
          </xdr14:nvContentPartPr>
          <xdr14:nvPr macro=""/>
          <xdr14:xfrm>
            <a:off x="923400" y="1899720"/>
            <a:ext cx="360" cy="360"/>
          </xdr14:xfrm>
        </xdr:contentPart>
      </mc:Choice>
      <mc:Fallback xmlns="">
        <xdr:pic>
          <xdr:nvPicPr>
            <xdr:cNvPr id="10" name="Ink 9">
              <a:extLst>
                <a:ext uri="{FF2B5EF4-FFF2-40B4-BE49-F238E27FC236}">
                  <a16:creationId xmlns:a16="http://schemas.microsoft.com/office/drawing/2014/main" id="{45230554-073F-8053-B91A-56E8445D1C8F}"/>
                </a:ext>
              </a:extLst>
            </xdr:cNvPr>
            <xdr:cNvPicPr/>
          </xdr:nvPicPr>
          <xdr:blipFill>
            <a:blip xmlns:r="http://schemas.openxmlformats.org/officeDocument/2006/relationships" r:embed="rId2"/>
            <a:stretch>
              <a:fillRect/>
            </a:stretch>
          </xdr:blipFill>
          <xdr:spPr>
            <a:xfrm>
              <a:off x="919080" y="1895400"/>
              <a:ext cx="9000" cy="9000"/>
            </a:xfrm>
            <a:prstGeom prst="rect">
              <a:avLst/>
            </a:prstGeom>
          </xdr:spPr>
        </xdr:pic>
      </mc:Fallback>
    </mc:AlternateContent>
    <xdr:clientData/>
  </xdr:twoCellAnchor>
  <xdr:twoCellAnchor editAs="oneCell">
    <xdr:from>
      <xdr:col>0</xdr:col>
      <xdr:colOff>304200</xdr:colOff>
      <xdr:row>71</xdr:row>
      <xdr:rowOff>142373</xdr:rowOff>
    </xdr:from>
    <xdr:to>
      <xdr:col>0</xdr:col>
      <xdr:colOff>304560</xdr:colOff>
      <xdr:row>71</xdr:row>
      <xdr:rowOff>145908</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1" name="Ink 10">
              <a:extLst>
                <a:ext uri="{FF2B5EF4-FFF2-40B4-BE49-F238E27FC236}">
                  <a16:creationId xmlns:a16="http://schemas.microsoft.com/office/drawing/2014/main" id="{A912B559-3771-9B4C-DB72-1325DC28903D}"/>
                </a:ext>
              </a:extLst>
            </xdr14:cNvPr>
            <xdr14:cNvContentPartPr/>
          </xdr14:nvContentPartPr>
          <xdr14:nvPr macro=""/>
          <xdr14:xfrm>
            <a:off x="304200" y="12353423"/>
            <a:ext cx="360" cy="360"/>
          </xdr14:xfrm>
        </xdr:contentPart>
      </mc:Choice>
      <mc:Fallback xmlns="">
        <xdr:pic>
          <xdr:nvPicPr>
            <xdr:cNvPr id="11" name="Ink 10">
              <a:extLst>
                <a:ext uri="{FF2B5EF4-FFF2-40B4-BE49-F238E27FC236}">
                  <a16:creationId xmlns:a16="http://schemas.microsoft.com/office/drawing/2014/main" id="{A912B559-3771-9B4C-DB72-1325DC28903D}"/>
                </a:ext>
              </a:extLst>
            </xdr:cNvPr>
            <xdr:cNvPicPr/>
          </xdr:nvPicPr>
          <xdr:blipFill>
            <a:blip xmlns:r="http://schemas.openxmlformats.org/officeDocument/2006/relationships" r:embed="rId2"/>
            <a:stretch>
              <a:fillRect/>
            </a:stretch>
          </xdr:blipFill>
          <xdr:spPr>
            <a:xfrm>
              <a:off x="299880" y="12158603"/>
              <a:ext cx="9000" cy="9000"/>
            </a:xfrm>
            <a:prstGeom prst="rect">
              <a:avLst/>
            </a:prstGeom>
          </xdr:spPr>
        </xdr:pic>
      </mc:Fallback>
    </mc:AlternateContent>
    <xdr:clientData/>
  </xdr:twoCellAnchor>
  <xdr:twoCellAnchor editAs="oneCell">
    <xdr:from>
      <xdr:col>0</xdr:col>
      <xdr:colOff>256680</xdr:colOff>
      <xdr:row>71</xdr:row>
      <xdr:rowOff>47333</xdr:rowOff>
    </xdr:from>
    <xdr:to>
      <xdr:col>0</xdr:col>
      <xdr:colOff>260215</xdr:colOff>
      <xdr:row>71</xdr:row>
      <xdr:rowOff>56498</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2" name="Ink 11">
              <a:extLst>
                <a:ext uri="{FF2B5EF4-FFF2-40B4-BE49-F238E27FC236}">
                  <a16:creationId xmlns:a16="http://schemas.microsoft.com/office/drawing/2014/main" id="{1832ABB6-5A77-0405-2DC2-DC44B94298D4}"/>
                </a:ext>
              </a:extLst>
            </xdr14:cNvPr>
            <xdr14:cNvContentPartPr/>
          </xdr14:nvContentPartPr>
          <xdr14:nvPr macro=""/>
          <xdr14:xfrm>
            <a:off x="256680" y="12258383"/>
            <a:ext cx="360" cy="360"/>
          </xdr14:xfrm>
        </xdr:contentPart>
      </mc:Choice>
      <mc:Fallback xmlns="">
        <xdr:pic>
          <xdr:nvPicPr>
            <xdr:cNvPr id="12" name="Ink 11">
              <a:extLst>
                <a:ext uri="{FF2B5EF4-FFF2-40B4-BE49-F238E27FC236}">
                  <a16:creationId xmlns:a16="http://schemas.microsoft.com/office/drawing/2014/main" id="{1832ABB6-5A77-0405-2DC2-DC44B94298D4}"/>
                </a:ext>
              </a:extLst>
            </xdr:cNvPr>
            <xdr:cNvPicPr/>
          </xdr:nvPicPr>
          <xdr:blipFill>
            <a:blip xmlns:r="http://schemas.openxmlformats.org/officeDocument/2006/relationships" r:embed="rId2"/>
            <a:stretch>
              <a:fillRect/>
            </a:stretch>
          </xdr:blipFill>
          <xdr:spPr>
            <a:xfrm>
              <a:off x="252360" y="12063563"/>
              <a:ext cx="9000" cy="9000"/>
            </a:xfrm>
            <a:prstGeom prst="rect">
              <a:avLst/>
            </a:prstGeom>
          </xdr:spPr>
        </xdr:pic>
      </mc:Fallback>
    </mc:AlternateContent>
    <xdr:clientData/>
  </xdr:twoCellAnchor>
  <xdr:twoCellAnchor editAs="oneCell">
    <xdr:from>
      <xdr:col>1</xdr:col>
      <xdr:colOff>937560</xdr:colOff>
      <xdr:row>71</xdr:row>
      <xdr:rowOff>0</xdr:rowOff>
    </xdr:from>
    <xdr:to>
      <xdr:col>1</xdr:col>
      <xdr:colOff>945857</xdr:colOff>
      <xdr:row>71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3" name="Ink 12">
              <a:extLst>
                <a:ext uri="{FF2B5EF4-FFF2-40B4-BE49-F238E27FC236}">
                  <a16:creationId xmlns:a16="http://schemas.microsoft.com/office/drawing/2014/main" id="{2B5EE768-A480-8929-C422-B451869836EC}"/>
                </a:ext>
              </a:extLst>
            </xdr14:cNvPr>
            <xdr14:cNvContentPartPr/>
          </xdr14:nvContentPartPr>
          <xdr14:nvPr macro=""/>
          <xdr14:xfrm>
            <a:off x="1451910" y="12211050"/>
            <a:ext cx="360" cy="360"/>
          </xdr14:xfrm>
        </xdr:contentPart>
      </mc:Choice>
      <mc:Fallback xmlns="">
        <xdr:pic>
          <xdr:nvPicPr>
            <xdr:cNvPr id="13" name="Ink 12">
              <a:extLst>
                <a:ext uri="{FF2B5EF4-FFF2-40B4-BE49-F238E27FC236}">
                  <a16:creationId xmlns:a16="http://schemas.microsoft.com/office/drawing/2014/main" id="{2B5EE768-A480-8929-C422-B451869836EC}"/>
                </a:ext>
              </a:extLst>
            </xdr:cNvPr>
            <xdr:cNvPicPr/>
          </xdr:nvPicPr>
          <xdr:blipFill>
            <a:blip xmlns:r="http://schemas.openxmlformats.org/officeDocument/2006/relationships" r:embed="rId2"/>
            <a:stretch>
              <a:fillRect/>
            </a:stretch>
          </xdr:blipFill>
          <xdr:spPr>
            <a:xfrm>
              <a:off x="1447590" y="12016230"/>
              <a:ext cx="9000" cy="9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32.387"/>
    </inkml:context>
    <inkml:brush xml:id="br0">
      <inkml:brushProperty name="width" value="0.025" units="cm"/>
      <inkml:brushProperty name="height" value="0.025" units="cm"/>
      <inkml:brushProperty name="color" value="#00A0D7"/>
    </inkml:brush>
  </inkml:definitions>
  <inkml:trace contextRef="#ctx0" brushRef="#br0">0 1 24575,'0'0'-8191</inkml:trace>
  <inkml:trace contextRef="#ctx0" brushRef="#br0" timeOffset="855.32">0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7:37:45.518"/>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10.534"/>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6.716"/>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7.840"/>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8.721"/>
    </inkml:context>
    <inkml:brush xml:id="br0">
      <inkml:brushProperty name="width" value="0.025" units="cm"/>
      <inkml:brushProperty name="height" value="0.025" units="cm"/>
      <inkml:brushProperty name="color" value="#00A0D7"/>
    </inkml:brush>
  </inkml:definitions>
  <inkml:trace contextRef="#ctx0" brushRef="#br0">1 1 24575,'0'0'-8191</inkml:trace>
  <inkml:trace contextRef="#ctx0" brushRef="#br0" timeOffset="370.86">1 1 24575,'0'0'-8191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6.432"/>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7.590"/>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8.452"/>
    </inkml:context>
    <inkml:brush xml:id="br0">
      <inkml:brushProperty name="width" value="0.025" units="cm"/>
      <inkml:brushProperty name="height" value="0.025" units="cm"/>
      <inkml:brushProperty name="color" value="#00A0D7"/>
    </inkml:brush>
  </inkml:definitions>
  <inkml:trace contextRef="#ctx0" brushRef="#br0">1 1 24575</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96.64528553241" createdVersion="8" refreshedVersion="8" minRefreshableVersion="3" recordCount="42" xr:uid="{D4839EE3-7C38-4203-97BD-F41BAA7FC8BE}">
  <cacheSource type="worksheet">
    <worksheetSource name="Data"/>
  </cacheSource>
  <cacheFields count="9">
    <cacheField name="Year" numFmtId="0">
      <sharedItems count="9">
        <s v="2015-16"/>
        <s v="2016-17"/>
        <s v="2017-18"/>
        <s v="2018-19"/>
        <s v="2019-20"/>
        <s v="2020-21"/>
        <s v="2021-22"/>
        <s v="2022-23"/>
        <s v="2023-24"/>
      </sharedItems>
    </cacheField>
    <cacheField name="KPI" numFmtId="0">
      <sharedItems count="8">
        <s v="Noise"/>
        <s v="Biodiversity"/>
        <s v="Air Quality"/>
        <s v="National Highways carbon emissions"/>
        <s v="Supply chain carbon emissions"/>
        <s v="Condition of Cultural Heritage assets"/>
        <s v="Water quality"/>
        <s v="Litter"/>
      </sharedItems>
    </cacheField>
    <cacheField name="National Highways" numFmtId="0">
      <sharedItems containsString="0" containsBlank="1" containsNumber="1" minValue="3.004" maxValue="563847"/>
    </cacheField>
    <cacheField name="Yorkshire and North East" numFmtId="0">
      <sharedItems containsString="0" containsBlank="1" containsNumber="1" minValue="0" maxValue="93692"/>
    </cacheField>
    <cacheField name="North West_x000a_" numFmtId="0">
      <sharedItems containsString="0" containsBlank="1" containsNumber="1" minValue="1" maxValue="68143"/>
    </cacheField>
    <cacheField name="Midlands_x000a_" numFmtId="0">
      <sharedItems containsString="0" containsBlank="1" containsNumber="1" containsInteger="1" minValue="0" maxValue="47102"/>
    </cacheField>
    <cacheField name="East_x000a_" numFmtId="0">
      <sharedItems containsString="0" containsBlank="1" containsNumber="1" minValue="0" maxValue="34714"/>
    </cacheField>
    <cacheField name="South East_x000a_" numFmtId="0">
      <sharedItems containsString="0" containsBlank="1" containsNumber="1" containsInteger="1" minValue="0" maxValue="99538"/>
    </cacheField>
    <cacheField name="South West_x000a_" numFmtId="0">
      <sharedItems containsString="0" containsBlank="1" containsNumber="1" minValue="0" maxValue="39569"/>
    </cacheField>
  </cacheFields>
  <extLst>
    <ext xmlns:x14="http://schemas.microsoft.com/office/spreadsheetml/2009/9/main" uri="{725AE2AE-9491-48be-B2B4-4EB974FC3084}">
      <x14:pivotCacheDefinition pivotCacheId="10949205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n v="62"/>
    <m/>
    <m/>
    <m/>
    <m/>
    <m/>
    <m/>
  </r>
  <r>
    <x v="1"/>
    <x v="0"/>
    <n v="141"/>
    <m/>
    <m/>
    <m/>
    <m/>
    <m/>
    <m/>
  </r>
  <r>
    <x v="2"/>
    <x v="0"/>
    <n v="448"/>
    <m/>
    <m/>
    <m/>
    <m/>
    <m/>
    <m/>
  </r>
  <r>
    <x v="3"/>
    <x v="0"/>
    <n v="300"/>
    <m/>
    <m/>
    <m/>
    <m/>
    <m/>
    <m/>
  </r>
  <r>
    <x v="4"/>
    <x v="0"/>
    <n v="223"/>
    <m/>
    <m/>
    <m/>
    <m/>
    <m/>
    <m/>
  </r>
  <r>
    <x v="5"/>
    <x v="0"/>
    <n v="2111"/>
    <n v="0"/>
    <n v="1528"/>
    <n v="25"/>
    <n v="2"/>
    <n v="224"/>
    <n v="332"/>
  </r>
  <r>
    <x v="6"/>
    <x v="0"/>
    <n v="1067"/>
    <n v="311"/>
    <n v="1"/>
    <n v="0"/>
    <n v="0"/>
    <n v="755"/>
    <n v="0"/>
  </r>
  <r>
    <x v="7"/>
    <x v="0"/>
    <n v="1029"/>
    <n v="126"/>
    <n v="442"/>
    <n v="46"/>
    <n v="0"/>
    <n v="363"/>
    <n v="8"/>
  </r>
  <r>
    <x v="8"/>
    <x v="0"/>
    <n v="990"/>
    <m/>
    <m/>
    <m/>
    <m/>
    <m/>
    <m/>
  </r>
  <r>
    <x v="5"/>
    <x v="1"/>
    <n v="147"/>
    <m/>
    <m/>
    <m/>
    <m/>
    <m/>
    <m/>
  </r>
  <r>
    <x v="6"/>
    <x v="1"/>
    <n v="364"/>
    <m/>
    <m/>
    <m/>
    <m/>
    <m/>
    <m/>
  </r>
  <r>
    <x v="7"/>
    <x v="1"/>
    <n v="1622"/>
    <m/>
    <m/>
    <m/>
    <m/>
    <m/>
    <m/>
  </r>
  <r>
    <x v="8"/>
    <x v="1"/>
    <n v="2389"/>
    <m/>
    <m/>
    <m/>
    <m/>
    <m/>
    <m/>
  </r>
  <r>
    <x v="5"/>
    <x v="2"/>
    <n v="31"/>
    <n v="7"/>
    <n v="2"/>
    <n v="11"/>
    <n v="0"/>
    <n v="8"/>
    <n v="3"/>
  </r>
  <r>
    <x v="6"/>
    <x v="2"/>
    <n v="31"/>
    <n v="7"/>
    <n v="2"/>
    <n v="11"/>
    <n v="0"/>
    <n v="8"/>
    <n v="3"/>
  </r>
  <r>
    <x v="7"/>
    <x v="2"/>
    <n v="43"/>
    <n v="10"/>
    <n v="10"/>
    <n v="11"/>
    <n v="0"/>
    <n v="9"/>
    <n v="3"/>
  </r>
  <r>
    <x v="8"/>
    <x v="2"/>
    <n v="30"/>
    <m/>
    <m/>
    <m/>
    <m/>
    <m/>
    <m/>
  </r>
  <r>
    <x v="5"/>
    <x v="3"/>
    <m/>
    <m/>
    <m/>
    <m/>
    <m/>
    <m/>
    <m/>
  </r>
  <r>
    <x v="6"/>
    <x v="3"/>
    <n v="37178"/>
    <m/>
    <m/>
    <m/>
    <m/>
    <m/>
    <m/>
  </r>
  <r>
    <x v="7"/>
    <x v="3"/>
    <n v="44809"/>
    <m/>
    <m/>
    <m/>
    <m/>
    <m/>
    <m/>
  </r>
  <r>
    <x v="8"/>
    <x v="3"/>
    <n v="45266"/>
    <m/>
    <m/>
    <m/>
    <m/>
    <m/>
    <m/>
  </r>
  <r>
    <x v="0"/>
    <x v="4"/>
    <n v="406523"/>
    <m/>
    <m/>
    <m/>
    <m/>
    <m/>
    <m/>
  </r>
  <r>
    <x v="1"/>
    <x v="4"/>
    <n v="326535"/>
    <m/>
    <m/>
    <m/>
    <m/>
    <m/>
    <m/>
  </r>
  <r>
    <x v="2"/>
    <x v="4"/>
    <n v="255000"/>
    <m/>
    <m/>
    <m/>
    <m/>
    <m/>
    <m/>
  </r>
  <r>
    <x v="3"/>
    <x v="4"/>
    <n v="293684"/>
    <m/>
    <m/>
    <m/>
    <m/>
    <m/>
    <m/>
  </r>
  <r>
    <x v="4"/>
    <x v="4"/>
    <n v="563847"/>
    <m/>
    <m/>
    <m/>
    <m/>
    <m/>
    <m/>
  </r>
  <r>
    <x v="5"/>
    <x v="4"/>
    <n v="365353"/>
    <m/>
    <m/>
    <m/>
    <m/>
    <m/>
    <m/>
  </r>
  <r>
    <x v="6"/>
    <x v="4"/>
    <n v="286238"/>
    <n v="56873"/>
    <n v="32402"/>
    <n v="47102"/>
    <n v="34714"/>
    <n v="99538"/>
    <n v="15609"/>
  </r>
  <r>
    <x v="7"/>
    <x v="4"/>
    <n v="346910"/>
    <n v="93692"/>
    <n v="68143"/>
    <n v="45759"/>
    <n v="17137"/>
    <n v="82609"/>
    <n v="39569"/>
  </r>
  <r>
    <x v="8"/>
    <x v="4"/>
    <n v="410562"/>
    <m/>
    <m/>
    <m/>
    <m/>
    <m/>
    <m/>
  </r>
  <r>
    <x v="5"/>
    <x v="5"/>
    <n v="51580"/>
    <m/>
    <m/>
    <m/>
    <m/>
    <m/>
    <m/>
  </r>
  <r>
    <x v="6"/>
    <x v="5"/>
    <n v="51592"/>
    <m/>
    <m/>
    <m/>
    <m/>
    <m/>
    <m/>
  </r>
  <r>
    <x v="7"/>
    <x v="5"/>
    <n v="51626"/>
    <m/>
    <m/>
    <m/>
    <m/>
    <m/>
    <m/>
  </r>
  <r>
    <x v="8"/>
    <x v="5"/>
    <n v="51626"/>
    <m/>
    <m/>
    <m/>
    <m/>
    <m/>
    <m/>
  </r>
  <r>
    <x v="5"/>
    <x v="6"/>
    <n v="17"/>
    <n v="2.2000000000000002"/>
    <n v="1"/>
    <n v="1"/>
    <n v="12.6"/>
    <n v="0"/>
    <n v="0"/>
  </r>
  <r>
    <x v="6"/>
    <x v="6"/>
    <n v="15"/>
    <n v="2"/>
    <n v="2.2999999999999998"/>
    <n v="0"/>
    <n v="0"/>
    <n v="0"/>
    <n v="11"/>
  </r>
  <r>
    <x v="7"/>
    <x v="6"/>
    <n v="6.7"/>
    <n v="2.5"/>
    <n v="1.4"/>
    <n v="0"/>
    <n v="0"/>
    <n v="1"/>
    <n v="1.8"/>
  </r>
  <r>
    <x v="8"/>
    <x v="6"/>
    <n v="3.004"/>
    <m/>
    <m/>
    <m/>
    <m/>
    <m/>
    <m/>
  </r>
  <r>
    <x v="5"/>
    <x v="7"/>
    <n v="49.2"/>
    <m/>
    <m/>
    <m/>
    <m/>
    <m/>
    <m/>
  </r>
  <r>
    <x v="6"/>
    <x v="7"/>
    <n v="60.8"/>
    <m/>
    <m/>
    <m/>
    <m/>
    <m/>
    <m/>
  </r>
  <r>
    <x v="7"/>
    <x v="7"/>
    <n v="53.6"/>
    <m/>
    <m/>
    <m/>
    <m/>
    <m/>
    <m/>
  </r>
  <r>
    <x v="8"/>
    <x v="7"/>
    <n v="59.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5A3286-384F-4296-A77A-30794ABFAC74}" name="PivotTable20"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S5:T9" firstHeaderRow="1" firstDataRow="1" firstDataCol="1"/>
  <pivotFields count="9">
    <pivotField axis="axisRow" showAll="0">
      <items count="10">
        <item x="0"/>
        <item x="1"/>
        <item x="2"/>
        <item x="3"/>
        <item x="4"/>
        <item x="5"/>
        <item x="6"/>
        <item x="7"/>
        <item x="8"/>
        <item t="default"/>
      </items>
    </pivotField>
    <pivotField showAll="0">
      <items count="9">
        <item x="2"/>
        <item h="1" x="1"/>
        <item h="1" x="5"/>
        <item h="1" x="7"/>
        <item h="1" x="3"/>
        <item h="1" x="0"/>
        <item h="1" x="4"/>
        <item h="1" x="6"/>
        <item t="default"/>
      </items>
    </pivotField>
    <pivotField showAll="0"/>
    <pivotField showAll="0"/>
    <pivotField showAll="0"/>
    <pivotField showAll="0"/>
    <pivotField showAll="0"/>
    <pivotField showAll="0"/>
    <pivotField dataField="1" showAll="0"/>
  </pivotFields>
  <rowFields count="1">
    <field x="0"/>
  </rowFields>
  <rowItems count="4">
    <i>
      <x v="5"/>
    </i>
    <i>
      <x v="6"/>
    </i>
    <i>
      <x v="7"/>
    </i>
    <i>
      <x v="8"/>
    </i>
  </rowItems>
  <colItems count="1">
    <i/>
  </colItems>
  <dataFields count="1">
    <dataField name=" South West" fld="8" baseField="0" baseItem="0"/>
  </dataFields>
  <chartFormats count="2">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1924CC8-0793-4711-8206-418D12FF5418}" name="PivotTable18"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M5:N9" firstHeaderRow="1" firstDataRow="1" firstDataCol="1"/>
  <pivotFields count="9">
    <pivotField axis="axisRow" showAll="0">
      <items count="10">
        <item x="0"/>
        <item x="1"/>
        <item x="2"/>
        <item x="3"/>
        <item x="4"/>
        <item x="5"/>
        <item x="6"/>
        <item x="7"/>
        <item x="8"/>
        <item t="default"/>
      </items>
    </pivotField>
    <pivotField showAll="0">
      <items count="9">
        <item x="2"/>
        <item h="1" x="1"/>
        <item h="1" x="5"/>
        <item h="1" x="7"/>
        <item h="1" x="3"/>
        <item h="1" x="0"/>
        <item h="1" x="4"/>
        <item h="1" x="6"/>
        <item t="default"/>
      </items>
    </pivotField>
    <pivotField showAll="0"/>
    <pivotField showAll="0"/>
    <pivotField showAll="0"/>
    <pivotField showAll="0"/>
    <pivotField dataField="1" showAll="0"/>
    <pivotField showAll="0"/>
    <pivotField showAll="0"/>
  </pivotFields>
  <rowFields count="1">
    <field x="0"/>
  </rowFields>
  <rowItems count="4">
    <i>
      <x v="5"/>
    </i>
    <i>
      <x v="6"/>
    </i>
    <i>
      <x v="7"/>
    </i>
    <i>
      <x v="8"/>
    </i>
  </rowItems>
  <colItems count="1">
    <i/>
  </colItems>
  <dataFields count="1">
    <dataField name=" East" fld="6" baseField="0" baseItem="0" numFmtId="3"/>
  </dataFields>
  <formats count="1">
    <format dxfId="2">
      <pivotArea outline="0" collapsedLevelsAreSubtotals="1" fieldPosition="0"/>
    </format>
  </formats>
  <chartFormats count="3">
    <chartFormat chart="3" format="20" series="1">
      <pivotArea type="data" outline="0" fieldPosition="0">
        <references count="1">
          <reference field="4294967294" count="1" selected="0">
            <x v="0"/>
          </reference>
        </references>
      </pivotArea>
    </chartFormat>
    <chartFormat chart="3" format="21">
      <pivotArea type="data" outline="0" fieldPosition="0">
        <references count="2">
          <reference field="4294967294" count="1" selected="0">
            <x v="0"/>
          </reference>
          <reference field="0" count="1" selected="0">
            <x v="5"/>
          </reference>
        </references>
      </pivotArea>
    </chartFormat>
    <chartFormat chart="3" format="22">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DB0ABC5-9439-4C0D-9BC5-FD77F274D3F9}" name="PivotTable21"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2:H46" firstHeaderRow="0" firstDataRow="1" firstDataCol="1" rowPageCount="1" colPageCount="1"/>
  <pivotFields count="9">
    <pivotField axis="axisRow" showAll="0">
      <items count="10">
        <item x="0"/>
        <item x="1"/>
        <item x="2"/>
        <item x="3"/>
        <item x="4"/>
        <item x="5"/>
        <item x="6"/>
        <item x="7"/>
        <item x="8"/>
        <item t="default"/>
      </items>
    </pivotField>
    <pivotField axis="axisPage" multipleItemSelectionAllowed="1" showAll="0">
      <items count="9">
        <item x="2"/>
        <item h="1" x="1"/>
        <item h="1" x="5"/>
        <item h="1" x="7"/>
        <item h="1" x="3"/>
        <item h="1" x="0"/>
        <item h="1" x="4"/>
        <item h="1" x="6"/>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4">
    <i>
      <x v="5"/>
    </i>
    <i>
      <x v="6"/>
    </i>
    <i>
      <x v="7"/>
    </i>
    <i>
      <x v="8"/>
    </i>
  </rowItems>
  <colFields count="1">
    <field x="-2"/>
  </colFields>
  <colItems count="7">
    <i>
      <x/>
    </i>
    <i i="1">
      <x v="1"/>
    </i>
    <i i="2">
      <x v="2"/>
    </i>
    <i i="3">
      <x v="3"/>
    </i>
    <i i="4">
      <x v="4"/>
    </i>
    <i i="5">
      <x v="5"/>
    </i>
    <i i="6">
      <x v="6"/>
    </i>
  </colItems>
  <pageFields count="1">
    <pageField fld="1" hier="-1"/>
  </pageFields>
  <dataFields count="7">
    <dataField name=" Yorkshire and North East" fld="3" baseField="0" baseItem="0"/>
    <dataField name=" North West_x000a_" fld="4" baseField="0" baseItem="0"/>
    <dataField name=" Midlands_x000a_" fld="5" baseField="0" baseItem="0"/>
    <dataField name=" East_x000a_" fld="6" baseField="0" baseItem="0"/>
    <dataField name=" South East_x000a_" fld="7" baseField="0" baseItem="0"/>
    <dataField name=" South West_x000a_" fld="8" baseField="0" baseItem="0"/>
    <dataField name=" National Highway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73C96A-41FA-4324-A78C-3E755941F416}" name="PivotTable17"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J5:K9" firstHeaderRow="1" firstDataRow="1" firstDataCol="1"/>
  <pivotFields count="9">
    <pivotField axis="axisRow" showAll="0">
      <items count="10">
        <item x="0"/>
        <item x="1"/>
        <item x="2"/>
        <item x="3"/>
        <item x="4"/>
        <item x="5"/>
        <item x="6"/>
        <item x="7"/>
        <item x="8"/>
        <item t="default"/>
      </items>
    </pivotField>
    <pivotField showAll="0">
      <items count="9">
        <item x="2"/>
        <item h="1" x="1"/>
        <item h="1" x="5"/>
        <item h="1" x="7"/>
        <item h="1" x="3"/>
        <item h="1" x="0"/>
        <item h="1" x="4"/>
        <item h="1" x="6"/>
        <item t="default"/>
      </items>
    </pivotField>
    <pivotField showAll="0"/>
    <pivotField showAll="0"/>
    <pivotField showAll="0"/>
    <pivotField dataField="1" showAll="0"/>
    <pivotField showAll="0"/>
    <pivotField showAll="0"/>
    <pivotField showAll="0"/>
  </pivotFields>
  <rowFields count="1">
    <field x="0"/>
  </rowFields>
  <rowItems count="4">
    <i>
      <x v="5"/>
    </i>
    <i>
      <x v="6"/>
    </i>
    <i>
      <x v="7"/>
    </i>
    <i>
      <x v="8"/>
    </i>
  </rowItems>
  <colItems count="1">
    <i/>
  </colItems>
  <dataFields count="1">
    <dataField name=" Midlands" fld="5" baseField="0" baseItem="0" numFmtId="3"/>
  </dataFields>
  <formats count="1">
    <format dxfId="3">
      <pivotArea outline="0" collapsedLevelsAreSubtotals="1" fieldPosition="0"/>
    </format>
  </formats>
  <chartFormats count="3">
    <chartFormat chart="3" format="31" series="1">
      <pivotArea type="data" outline="0" fieldPosition="0">
        <references count="1">
          <reference field="4294967294" count="1" selected="0">
            <x v="0"/>
          </reference>
        </references>
      </pivotArea>
    </chartFormat>
    <chartFormat chart="3" format="32">
      <pivotArea type="data" outline="0" fieldPosition="0">
        <references count="2">
          <reference field="4294967294" count="1" selected="0">
            <x v="0"/>
          </reference>
          <reference field="0" count="1" selected="0">
            <x v="5"/>
          </reference>
        </references>
      </pivotArea>
    </chartFormat>
    <chartFormat chart="3" format="33">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EE3E3EF-E5E9-47AB-8237-E922E2795DD6}" name="PivotTable19"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P5:Q9" firstHeaderRow="1" firstDataRow="1" firstDataCol="1"/>
  <pivotFields count="9">
    <pivotField axis="axisRow" showAll="0">
      <items count="10">
        <item x="0"/>
        <item x="1"/>
        <item x="2"/>
        <item x="3"/>
        <item x="4"/>
        <item x="5"/>
        <item x="6"/>
        <item x="7"/>
        <item x="8"/>
        <item t="default"/>
      </items>
    </pivotField>
    <pivotField showAll="0">
      <items count="9">
        <item x="2"/>
        <item h="1" x="1"/>
        <item h="1" x="5"/>
        <item h="1" x="7"/>
        <item h="1" x="3"/>
        <item h="1" x="0"/>
        <item h="1" x="4"/>
        <item h="1" x="6"/>
        <item t="default"/>
      </items>
    </pivotField>
    <pivotField showAll="0"/>
    <pivotField showAll="0"/>
    <pivotField showAll="0"/>
    <pivotField showAll="0"/>
    <pivotField showAll="0"/>
    <pivotField dataField="1" showAll="0"/>
    <pivotField showAll="0"/>
  </pivotFields>
  <rowFields count="1">
    <field x="0"/>
  </rowFields>
  <rowItems count="4">
    <i>
      <x v="5"/>
    </i>
    <i>
      <x v="6"/>
    </i>
    <i>
      <x v="7"/>
    </i>
    <i>
      <x v="8"/>
    </i>
  </rowItems>
  <colItems count="1">
    <i/>
  </colItems>
  <dataFields count="1">
    <dataField name=" South East" fld="7" baseField="0" baseItem="0"/>
  </dataFields>
  <chartFormats count="11">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5"/>
          </reference>
        </references>
      </pivotArea>
    </chartFormat>
    <chartFormat chart="3" format="21">
      <pivotArea type="data" outline="0" fieldPosition="0">
        <references count="2">
          <reference field="4294967294" count="1" selected="0">
            <x v="0"/>
          </reference>
          <reference field="0" count="1" selected="0">
            <x v="6"/>
          </reference>
        </references>
      </pivotArea>
    </chartFormat>
    <chartFormat chart="3" format="22">
      <pivotArea type="data" outline="0" fieldPosition="0">
        <references count="2">
          <reference field="4294967294" count="1" selected="0">
            <x v="0"/>
          </reference>
          <reference field="0" count="1" selected="0">
            <x v="7"/>
          </reference>
        </references>
      </pivotArea>
    </chartFormat>
    <chartFormat chart="3" format="23">
      <pivotArea type="data" outline="0" fieldPosition="0">
        <references count="1">
          <reference field="4294967294" count="1" selected="0">
            <x v="0"/>
          </reference>
        </references>
      </pivotArea>
    </chartFormat>
    <chartFormat chart="3" format="24">
      <pivotArea type="data" outline="0" fieldPosition="0">
        <references count="2">
          <reference field="4294967294" count="1" selected="0">
            <x v="0"/>
          </reference>
          <reference field="0" count="1" selected="0">
            <x v="8"/>
          </reference>
        </references>
      </pivotArea>
    </chartFormat>
    <chartFormat chart="3" format="25">
      <pivotArea type="data" outline="0" fieldPosition="0">
        <references count="2">
          <reference field="4294967294" count="1" selected="0">
            <x v="0"/>
          </reference>
          <reference field="0" count="1" selected="0">
            <x v="0"/>
          </reference>
        </references>
      </pivotArea>
    </chartFormat>
    <chartFormat chart="3" format="26">
      <pivotArea type="data" outline="0" fieldPosition="0">
        <references count="2">
          <reference field="4294967294" count="1" selected="0">
            <x v="0"/>
          </reference>
          <reference field="0" count="1" selected="0">
            <x v="1"/>
          </reference>
        </references>
      </pivotArea>
    </chartFormat>
    <chartFormat chart="3" format="27">
      <pivotArea type="data" outline="0" fieldPosition="0">
        <references count="2">
          <reference field="4294967294" count="1" selected="0">
            <x v="0"/>
          </reference>
          <reference field="0" count="1" selected="0">
            <x v="2"/>
          </reference>
        </references>
      </pivotArea>
    </chartFormat>
    <chartFormat chart="3" format="28">
      <pivotArea type="data" outline="0" fieldPosition="0">
        <references count="2">
          <reference field="4294967294" count="1" selected="0">
            <x v="0"/>
          </reference>
          <reference field="0" count="1" selected="0">
            <x v="3"/>
          </reference>
        </references>
      </pivotArea>
    </chartFormat>
    <chartFormat chart="3" format="29">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7BBBADC-FF5A-402D-A177-7E5BEF3B86D2}" name="PivotTable15"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D5:E9" firstHeaderRow="1" firstDataRow="1" firstDataCol="1"/>
  <pivotFields count="9">
    <pivotField axis="axisRow" showAll="0" defaultSubtotal="0">
      <items count="9">
        <item x="0"/>
        <item x="1"/>
        <item x="2"/>
        <item x="3"/>
        <item x="4"/>
        <item x="5"/>
        <item x="6"/>
        <item x="7"/>
        <item x="8"/>
      </items>
    </pivotField>
    <pivotField showAll="0">
      <items count="9">
        <item x="2"/>
        <item h="1" x="1"/>
        <item h="1" x="5"/>
        <item h="1" x="7"/>
        <item h="1" x="3"/>
        <item h="1" x="0"/>
        <item h="1" x="4"/>
        <item h="1" x="6"/>
        <item t="default"/>
      </items>
    </pivotField>
    <pivotField showAll="0"/>
    <pivotField dataField="1" showAll="0"/>
    <pivotField showAll="0"/>
    <pivotField showAll="0"/>
    <pivotField showAll="0"/>
    <pivotField showAll="0"/>
    <pivotField showAll="0"/>
  </pivotFields>
  <rowFields count="1">
    <field x="0"/>
  </rowFields>
  <rowItems count="4">
    <i>
      <x v="5"/>
    </i>
    <i>
      <x v="6"/>
    </i>
    <i>
      <x v="7"/>
    </i>
    <i>
      <x v="8"/>
    </i>
  </rowItems>
  <colItems count="1">
    <i/>
  </colItems>
  <dataFields count="1">
    <dataField name=" Yorkshire and North East" fld="3" baseField="0" baseItem="0" numFmtId="3"/>
  </dataFields>
  <formats count="2">
    <format dxfId="5">
      <pivotArea collapsedLevelsAreSubtotals="1" fieldPosition="0">
        <references count="1">
          <reference field="0" count="1">
            <x v="6"/>
          </reference>
        </references>
      </pivotArea>
    </format>
    <format dxfId="4">
      <pivotArea outline="0" collapsedLevelsAreSubtotals="1" fieldPosition="0"/>
    </format>
  </formats>
  <chartFormats count="11">
    <chartFormat chart="5" format="22" series="1">
      <pivotArea type="data" outline="0" fieldPosition="0">
        <references count="1">
          <reference field="4294967294" count="1" selected="0">
            <x v="0"/>
          </reference>
        </references>
      </pivotArea>
    </chartFormat>
    <chartFormat chart="5" format="23">
      <pivotArea type="data" outline="0" fieldPosition="0">
        <references count="2">
          <reference field="4294967294" count="1" selected="0">
            <x v="0"/>
          </reference>
          <reference field="0" count="1" selected="0">
            <x v="6"/>
          </reference>
        </references>
      </pivotArea>
    </chartFormat>
    <chartFormat chart="5" format="24">
      <pivotArea type="data" outline="0" fieldPosition="0">
        <references count="2">
          <reference field="4294967294" count="1" selected="0">
            <x v="0"/>
          </reference>
          <reference field="0" count="1" selected="0">
            <x v="5"/>
          </reference>
        </references>
      </pivotArea>
    </chartFormat>
    <chartFormat chart="5" format="25">
      <pivotArea type="data" outline="0" fieldPosition="0">
        <references count="2">
          <reference field="4294967294" count="1" selected="0">
            <x v="0"/>
          </reference>
          <reference field="0" count="1" selected="0">
            <x v="7"/>
          </reference>
        </references>
      </pivotArea>
    </chartFormat>
    <chartFormat chart="5" format="26">
      <pivotArea type="data" outline="0" fieldPosition="0">
        <references count="1">
          <reference field="4294967294" count="1" selected="0">
            <x v="0"/>
          </reference>
        </references>
      </pivotArea>
    </chartFormat>
    <chartFormat chart="5" format="27">
      <pivotArea type="data" outline="0" fieldPosition="0">
        <references count="2">
          <reference field="4294967294" count="1" selected="0">
            <x v="0"/>
          </reference>
          <reference field="0" count="1" selected="0">
            <x v="8"/>
          </reference>
        </references>
      </pivotArea>
    </chartFormat>
    <chartFormat chart="5" format="28">
      <pivotArea type="data" outline="0" fieldPosition="0">
        <references count="2">
          <reference field="4294967294" count="1" selected="0">
            <x v="0"/>
          </reference>
          <reference field="0" count="1" selected="0">
            <x v="0"/>
          </reference>
        </references>
      </pivotArea>
    </chartFormat>
    <chartFormat chart="5" format="29">
      <pivotArea type="data" outline="0" fieldPosition="0">
        <references count="2">
          <reference field="4294967294" count="1" selected="0">
            <x v="0"/>
          </reference>
          <reference field="0" count="1" selected="0">
            <x v="1"/>
          </reference>
        </references>
      </pivotArea>
    </chartFormat>
    <chartFormat chart="5" format="30">
      <pivotArea type="data" outline="0" fieldPosition="0">
        <references count="2">
          <reference field="4294967294" count="1" selected="0">
            <x v="0"/>
          </reference>
          <reference field="0" count="1" selected="0">
            <x v="2"/>
          </reference>
        </references>
      </pivotArea>
    </chartFormat>
    <chartFormat chart="5" format="31">
      <pivotArea type="data" outline="0" fieldPosition="0">
        <references count="2">
          <reference field="4294967294" count="1" selected="0">
            <x v="0"/>
          </reference>
          <reference field="0" count="1" selected="0">
            <x v="3"/>
          </reference>
        </references>
      </pivotArea>
    </chartFormat>
    <chartFormat chart="5" format="32">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4AE26F3-BB3D-4C6F-A379-3E7DEBECA6EC}" name="PivotTable14"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A5:B9" firstHeaderRow="1" firstDataRow="1" firstDataCol="1"/>
  <pivotFields count="9">
    <pivotField axis="axisRow" showAll="0">
      <items count="10">
        <item x="0"/>
        <item x="1"/>
        <item x="2"/>
        <item x="3"/>
        <item x="4"/>
        <item x="5"/>
        <item x="6"/>
        <item x="7"/>
        <item x="8"/>
        <item t="default"/>
      </items>
    </pivotField>
    <pivotField showAll="0">
      <items count="9">
        <item x="2"/>
        <item h="1" x="1"/>
        <item h="1" x="5"/>
        <item h="1" x="7"/>
        <item h="1" x="3"/>
        <item h="1" x="0"/>
        <item h="1" x="4"/>
        <item h="1" x="6"/>
        <item t="default"/>
      </items>
    </pivotField>
    <pivotField dataField="1" showAll="0"/>
    <pivotField showAll="0"/>
    <pivotField showAll="0"/>
    <pivotField showAll="0"/>
    <pivotField showAll="0"/>
    <pivotField showAll="0"/>
    <pivotField showAll="0"/>
  </pivotFields>
  <rowFields count="1">
    <field x="0"/>
  </rowFields>
  <rowItems count="4">
    <i>
      <x v="5"/>
    </i>
    <i>
      <x v="6"/>
    </i>
    <i>
      <x v="7"/>
    </i>
    <i>
      <x v="8"/>
    </i>
  </rowItems>
  <colItems count="1">
    <i/>
  </colItems>
  <dataFields count="1">
    <dataField name=" National Highways" fld="2" baseField="0" baseItem="0" numFmtId="3"/>
  </dataFields>
  <formats count="1">
    <format dxfId="6">
      <pivotArea outline="0" collapsedLevelsAreSubtotals="1" fieldPosition="0"/>
    </format>
  </formats>
  <chartFormats count="11">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5"/>
          </reference>
        </references>
      </pivotArea>
    </chartFormat>
    <chartFormat chart="3" format="21">
      <pivotArea type="data" outline="0" fieldPosition="0">
        <references count="2">
          <reference field="4294967294" count="1" selected="0">
            <x v="0"/>
          </reference>
          <reference field="0" count="1" selected="0">
            <x v="6"/>
          </reference>
        </references>
      </pivotArea>
    </chartFormat>
    <chartFormat chart="3" format="22">
      <pivotArea type="data" outline="0" fieldPosition="0">
        <references count="1">
          <reference field="4294967294" count="1" selected="0">
            <x v="0"/>
          </reference>
        </references>
      </pivotArea>
    </chartFormat>
    <chartFormat chart="3" format="23">
      <pivotArea type="data" outline="0" fieldPosition="0">
        <references count="2">
          <reference field="4294967294" count="1" selected="0">
            <x v="0"/>
          </reference>
          <reference field="0" count="1" selected="0">
            <x v="0"/>
          </reference>
        </references>
      </pivotArea>
    </chartFormat>
    <chartFormat chart="3" format="24">
      <pivotArea type="data" outline="0" fieldPosition="0">
        <references count="2">
          <reference field="4294967294" count="1" selected="0">
            <x v="0"/>
          </reference>
          <reference field="0" count="1" selected="0">
            <x v="1"/>
          </reference>
        </references>
      </pivotArea>
    </chartFormat>
    <chartFormat chart="3" format="25">
      <pivotArea type="data" outline="0" fieldPosition="0">
        <references count="2">
          <reference field="4294967294" count="1" selected="0">
            <x v="0"/>
          </reference>
          <reference field="0" count="1" selected="0">
            <x v="2"/>
          </reference>
        </references>
      </pivotArea>
    </chartFormat>
    <chartFormat chart="3" format="26">
      <pivotArea type="data" outline="0" fieldPosition="0">
        <references count="2">
          <reference field="4294967294" count="1" selected="0">
            <x v="0"/>
          </reference>
          <reference field="0" count="1" selected="0">
            <x v="3"/>
          </reference>
        </references>
      </pivotArea>
    </chartFormat>
    <chartFormat chart="3" format="27">
      <pivotArea type="data" outline="0" fieldPosition="0">
        <references count="2">
          <reference field="4294967294" count="1" selected="0">
            <x v="0"/>
          </reference>
          <reference field="0" count="1" selected="0">
            <x v="4"/>
          </reference>
        </references>
      </pivotArea>
    </chartFormat>
    <chartFormat chart="3" format="28">
      <pivotArea type="data" outline="0" fieldPosition="0">
        <references count="2">
          <reference field="4294967294" count="1" selected="0">
            <x v="0"/>
          </reference>
          <reference field="0" count="1" selected="0">
            <x v="7"/>
          </reference>
        </references>
      </pivotArea>
    </chartFormat>
    <chartFormat chart="3" format="29">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3DBA2CA-F609-4601-A036-EE4CC9D864A5}" name="PivotTable16" cacheId="19"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G5:H9" firstHeaderRow="1" firstDataRow="1" firstDataCol="1"/>
  <pivotFields count="9">
    <pivotField axis="axisRow" showAll="0">
      <items count="10">
        <item x="0"/>
        <item x="1"/>
        <item x="2"/>
        <item x="3"/>
        <item x="4"/>
        <item x="5"/>
        <item x="6"/>
        <item x="7"/>
        <item x="8"/>
        <item t="default"/>
      </items>
    </pivotField>
    <pivotField showAll="0">
      <items count="9">
        <item x="2"/>
        <item h="1" x="1"/>
        <item h="1" x="5"/>
        <item h="1" x="7"/>
        <item h="1" x="3"/>
        <item h="1" x="0"/>
        <item h="1" x="4"/>
        <item h="1" x="6"/>
        <item t="default"/>
      </items>
    </pivotField>
    <pivotField showAll="0"/>
    <pivotField showAll="0"/>
    <pivotField dataField="1" showAll="0"/>
    <pivotField showAll="0"/>
    <pivotField showAll="0"/>
    <pivotField showAll="0"/>
    <pivotField showAll="0"/>
  </pivotFields>
  <rowFields count="1">
    <field x="0"/>
  </rowFields>
  <rowItems count="4">
    <i>
      <x v="5"/>
    </i>
    <i>
      <x v="6"/>
    </i>
    <i>
      <x v="7"/>
    </i>
    <i>
      <x v="8"/>
    </i>
  </rowItems>
  <colItems count="1">
    <i/>
  </colItems>
  <dataFields count="1">
    <dataField name=" North West" fld="4" baseField="0" baseItem="0" numFmtId="3"/>
  </dataFields>
  <formats count="1">
    <format dxfId="7">
      <pivotArea outline="0" collapsedLevelsAreSubtotals="1" fieldPosition="0"/>
    </format>
  </formats>
  <chartFormats count="3">
    <chartFormat chart="5" format="30" series="1">
      <pivotArea type="data" outline="0" fieldPosition="0">
        <references count="1">
          <reference field="4294967294" count="1" selected="0">
            <x v="0"/>
          </reference>
        </references>
      </pivotArea>
    </chartFormat>
    <chartFormat chart="5" format="31">
      <pivotArea type="data" outline="0" fieldPosition="0">
        <references count="2">
          <reference field="4294967294" count="1" selected="0">
            <x v="0"/>
          </reference>
          <reference field="0" count="1" selected="0">
            <x v="6"/>
          </reference>
        </references>
      </pivotArea>
    </chartFormat>
    <chartFormat chart="5" format="32">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75CBB94-6FC3-4340-9DDC-A5D24E3D00DB}" sourceName="Year">
  <pivotTables>
    <pivotTable tabId="20" name="PivotTable14"/>
    <pivotTable tabId="20" name="PivotTable15"/>
    <pivotTable tabId="20" name="PivotTable16"/>
    <pivotTable tabId="20" name="PivotTable17"/>
    <pivotTable tabId="20" name="PivotTable18"/>
    <pivotTable tabId="20" name="PivotTable19"/>
    <pivotTable tabId="20" name="PivotTable20"/>
    <pivotTable tabId="20" name="PivotTable21"/>
  </pivotTables>
  <data>
    <tabular pivotCacheId="1094920591" showMissing="0">
      <items count="9">
        <i x="5" s="1"/>
        <i x="6" s="1"/>
        <i x="7" s="1"/>
        <i x="8" s="1"/>
        <i x="0" s="1" nd="1"/>
        <i x="1" s="1" nd="1"/>
        <i x="2" s="1" nd="1"/>
        <i x="3"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1" xr10:uid="{3F9ECE6C-B60E-4688-9406-3A23691CCDB2}" sourceName="KPI">
  <pivotTables>
    <pivotTable tabId="20" name="PivotTable14"/>
    <pivotTable tabId="20" name="PivotTable21"/>
    <pivotTable tabId="20" name="PivotTable15"/>
    <pivotTable tabId="20" name="PivotTable16"/>
    <pivotTable tabId="20" name="PivotTable17"/>
    <pivotTable tabId="20" name="PivotTable18"/>
    <pivotTable tabId="20" name="PivotTable19"/>
    <pivotTable tabId="20" name="PivotTable20"/>
  </pivotTables>
  <data>
    <tabular pivotCacheId="1094920591" showMissing="0">
      <items count="8">
        <i x="2" s="1"/>
        <i x="1"/>
        <i x="5"/>
        <i x="7"/>
        <i x="3"/>
        <i x="0"/>
        <i x="4"/>
        <i x="6"/>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4CC6B889-FB88-49F6-8B37-39D71195AD2C}" cache="Slicer_Year1" caption="Year" columnCount="5" showCaption="0" style="indicators" lockedPosition="1" rowHeight="432000"/>
  <slicer name="KPI 1" xr10:uid="{95109B5B-F76C-43D0-8F7A-A8C9F4946811}" cache="Slicer_KPI1" caption="KPI" showCaption="0" style="indicators 2"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CFC0DC7-7774-4054-966B-0296F27A6760}" cache="Slicer_Year1" caption="Year" columnCount="7" showCaption="0" rowHeight="241300"/>
  <slicer name="KPI" xr10:uid="{EEF733BA-B92C-4812-8A47-3B0DEDEF81D1}" cache="Slicer_KPI1" caption="KPI" columnCount="8" showCap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10" totalsRowShown="0" dataDxfId="58">
  <tableColumns count="2">
    <tableColumn id="1" xr3:uid="{00000000-0010-0000-0100-000001000000}" name="Note number " dataDxfId="57"/>
    <tableColumn id="2" xr3:uid="{00000000-0010-0000-0100-000002000000}" name="Note text " dataDxfId="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12" totalsRowShown="0">
  <autoFilter ref="A3:B12" xr:uid="{A2E2B00C-F437-45B3-8503-7AA9961C3F10}">
    <filterColumn colId="0" hiddenButton="1"/>
    <filterColumn colId="1" hiddenButton="1"/>
  </autoFilter>
  <tableColumns count="2">
    <tableColumn id="1" xr3:uid="{557ED635-1147-439E-8F74-0D2BBB4D3AF5}" name="Worksheet name" dataDxfId="55"/>
    <tableColumn id="2" xr3:uid="{7C0BBB98-1A7D-4386-9200-AB6B86FDDAAE}" name="Worksheet title"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436A37-472D-4D51-B5A9-374686CD8D0C}" name="Table_4a" displayName="Table_4a" ref="A6:H15" totalsRowShown="0" headerRowDxfId="53" dataDxfId="52">
  <autoFilter ref="A6:H15" xr:uid="{C7436A37-472D-4D51-B5A9-374686CD8D0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B3CDD0F-83C7-41EA-8A24-385273264006}" name="Time period"/>
    <tableColumn id="2" xr3:uid="{233E4A4D-3E42-4CBD-A4E2-1758307ED0EB}" name="England's strategic road network _x000a_(Number of households within Noise Important Areas where noise has been reduced)" dataDxfId="51"/>
    <tableColumn id="3" xr3:uid="{26BBD0BD-A31D-423C-B01E-1F1413FA6840}" name="Yorkshire and North East_x000a_(Number of households within Noise Important Areas where noise has been reduced)" dataDxfId="50"/>
    <tableColumn id="4" xr3:uid="{89D79683-AA06-4B30-BEDA-28142801EBCC}" name="North West_x000a_(Number of households within Noise Important Areas where noise has been reduced)" dataDxfId="49"/>
    <tableColumn id="5" xr3:uid="{BEF71962-B425-4B69-A4A6-EC6B628BFBFD}" name="Midlands_x000a_(Number of households within Noise Important Areas where noise has been reduced)" dataDxfId="48"/>
    <tableColumn id="6" xr3:uid="{3A4D4B28-BBF4-4C3F-8F35-2C49790C8792}" name="East_x000a_(Number of households within Noise Important Areas where noise has been reduced)" dataDxfId="47"/>
    <tableColumn id="7" xr3:uid="{30FA0A99-E102-4A10-847E-458FCF1BBF03}" name="South East_x000a_(Number of households within Noise Important Areas where noise has been reduced)" dataDxfId="46"/>
    <tableColumn id="8" xr3:uid="{A9D21979-0939-4B86-A994-B9AB53F28AA8}" name="South West_x000a_(Number of households within Noise Important Areas where noise has been reduced)" dataDxfId="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1CC65E-E923-4493-A56B-E1CBAEF5A6A5}" name="Table_4b" displayName="Table_4b" ref="A4:B8" totalsRowShown="0" headerRowDxfId="44" dataDxfId="43">
  <autoFilter ref="A4:B8" xr:uid="{C51CC65E-E923-4493-A56B-E1CBAEF5A6A5}">
    <filterColumn colId="0" hiddenButton="1"/>
    <filterColumn colId="1" hiddenButton="1"/>
  </autoFilter>
  <tableColumns count="2">
    <tableColumn id="1" xr3:uid="{FA147DDC-D5F9-4FBB-90DA-33411AAB6701}" name="Time period" dataDxfId="42"/>
    <tableColumn id="2" xr3:uid="{C36F3C2E-0473-4FAF-955A-00E0F1815DBC}" name="National Highways_x000a_(Biodiversity units delivered)"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C910B-CC6D-41E2-97B8-4916F1008775}" name="Table_4c" displayName="Table_4c" ref="A4:H8" totalsRowShown="0" headerRowDxfId="40" dataDxfId="39">
  <autoFilter ref="A4:H8" xr:uid="{000C910B-CC6D-41E2-97B8-4916F10087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3C2C14F-DC18-4836-9C64-B6192766AA8D}" name="Time period" dataDxfId="38"/>
    <tableColumn id="2" xr3:uid="{5DEBE759-52CA-43D9-BDFC-E00DB115120F}" name="England's strategic road network_x000a_(number of links in exceedance of the legal nitrogen dioxide (NO2) limits)" dataDxfId="37"/>
    <tableColumn id="3" xr3:uid="{C2973472-3CDD-4BA4-B0D9-0D1BA5656870}" name="Yorkshire and North East_x000a_(number of links in exceedance of the legal nitrogen dioxide (NO2) limits)" dataDxfId="36"/>
    <tableColumn id="4" xr3:uid="{DC473E75-BE73-44A6-9D93-F86CAF2D8362}" name="North West_x000a_(number of links in exceedance of the legal nitrogen dioxide (NO2) limits)" dataDxfId="35"/>
    <tableColumn id="5" xr3:uid="{F1AFD493-8248-49F1-B68A-37817CE8060E}" name="Midlands_x000a_(number of links in exceedance of the legal nitrogen dioxide (NO2) limits)" dataDxfId="34"/>
    <tableColumn id="6" xr3:uid="{6D213ED1-1325-4701-B26D-DA464358D0B6}" name="East_x000a_(number of links in exceedance of the legal nitrogen dioxide (NO2) limits)" dataDxfId="33"/>
    <tableColumn id="7" xr3:uid="{1E709425-F10A-4C6D-A019-F5D75CE88A8F}" name="South East_x000a_(number of  links in exceedance of the legal nitrogen dioxide (NO2) limits)" dataDxfId="32"/>
    <tableColumn id="8" xr3:uid="{7437ED8D-BC12-46A8-8989-D943DA957539}" name="South West_x000a_(number of links in exceedance of the legal nitrogen dioxide (NO2) limits)" dataDxfId="3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3391CF-76B3-4D46-A7DC-85299A85373D}" name="Table_4d" displayName="Table_4d" ref="A5:B9" totalsRowShown="0" headerRowDxfId="30" dataDxfId="29">
  <autoFilter ref="A5:B9" xr:uid="{373391CF-76B3-4D46-A7DC-85299A85373D}">
    <filterColumn colId="0" hiddenButton="1"/>
    <filterColumn colId="1" hiddenButton="1"/>
  </autoFilter>
  <tableColumns count="2">
    <tableColumn id="1" xr3:uid="{22D28656-B3CF-4738-AFE3-2CE30DF1D05C}" name="Time period" dataDxfId="28"/>
    <tableColumn id="2" xr3:uid="{4DBECD0D-65B6-415F-9203-E7167126A86B}" name="National Highways _x000a_(tonnes of CO2e)" dataDxfId="2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BCBD20-2867-486D-BCEE-6DC2A9A17E34}" name="Table_4e" displayName="Table_4e" ref="A4:H13" totalsRowShown="0">
  <autoFilter ref="A4:H13" xr:uid="{25BCBD20-2867-486D-BCEE-6DC2A9A17E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47E431-BA6E-4526-8B76-B0C0E87821F8}" name="Time period"/>
    <tableColumn id="2" xr3:uid="{B5050DCB-3760-4358-9D3A-D05F53E4D12D}" name="National Highways_x000a_(absolute tonnes CO2e)" dataDxfId="26"/>
    <tableColumn id="3" xr3:uid="{A664BF9F-4790-46C5-8DDE-8A3C91718E33}" name="Yorkshire and North East _x000a_(absolute tonnes CO2e)" dataDxfId="25"/>
    <tableColumn id="4" xr3:uid="{FB1E5305-7CCB-49F9-9BFC-5FE143E9914C}" name="North West_x000a_(absolute tonnes CO2e)" dataDxfId="24"/>
    <tableColumn id="5" xr3:uid="{9F68312E-AA3E-4059-BF91-04C9FC2A3A73}" name="Midlands_x000a_(absolute tonnes CO2e)" dataDxfId="23"/>
    <tableColumn id="6" xr3:uid="{17ECB59A-4864-496B-A4C9-EBFF144985BD}" name="East_x000a_(absolute tonnes CO2e)" dataDxfId="22"/>
    <tableColumn id="7" xr3:uid="{D3D880CB-5B05-476E-BF8D-B9BB59A9B1FD}" name="South East_x000a_(absolute tonnes CO2e)" dataDxfId="21"/>
    <tableColumn id="8" xr3:uid="{11995EB8-E933-4854-BC80-B90E5364AE5F}" name="South West_x000a_(absolute tonnes CO2e)"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F2944C-617F-4BF4-8860-8040353CBAE5}" name="Table_4f" displayName="Table_4f" ref="A3:B7" totalsRowShown="0">
  <autoFilter ref="A3:B7" xr:uid="{77F2944C-617F-4BF4-8860-8040353CBAE5}">
    <filterColumn colId="0" hiddenButton="1"/>
    <filterColumn colId="1" hiddenButton="1"/>
  </autoFilter>
  <tableColumns count="2">
    <tableColumn id="1" xr3:uid="{FA2D21E3-0F1C-4C34-9990-573A657701E2}" name="Time period" dataDxfId="19"/>
    <tableColumn id="2" xr3:uid="{2DBB2C53-08F7-4C41-96D9-F02A4C117AB8}" name="England's strategic road network_x000a_(numeric score)" dataDxfId="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FBB656-2CA5-447F-9A2A-253EC96EE786}" name="Table_4g" displayName="Table_4g" ref="A3:H7" totalsRowShown="0">
  <autoFilter ref="A3:H7" xr:uid="{9EFBB656-2CA5-447F-9A2A-253EC96EE78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EC1FA20-9C6F-4D1B-A6B8-1812E0FE8C00}" name="Time period" dataDxfId="17"/>
    <tableColumn id="2" xr3:uid="{EFBE6496-82E5-4D66-8688-A1FE24566EBE}" name="England's strategic road network_x000a_(km of watercourse enhanced)" dataDxfId="16"/>
    <tableColumn id="3" xr3:uid="{4BA99704-DC29-429F-985A-EE52C55A493C}" name="Yorkshire and North East _x000a_(km of watercourse enhanced)" dataDxfId="15"/>
    <tableColumn id="4" xr3:uid="{4113C401-0FBC-4C2B-9F27-1A9850010F0B}" name="North West_x000a_(km of watercourse enhanced)" dataDxfId="14"/>
    <tableColumn id="5" xr3:uid="{BFA08CED-4394-4CBF-A816-996431B7B7A6}" name="Midlands_x000a_(km of watercourse enhanced)" dataDxfId="13"/>
    <tableColumn id="6" xr3:uid="{E4A40674-1B41-4D6B-A7DA-E1C924BB117A}" name="East_x000a_(km of watercourse enhanced)" dataDxfId="12"/>
    <tableColumn id="7" xr3:uid="{4BDE07C8-25EB-4F4F-9ACB-9D9B786C95B8}" name="South East_x000a_(km of watercourse enhanced)" dataDxfId="11"/>
    <tableColumn id="8" xr3:uid="{9129666D-96CD-455A-A2A7-81904375FD0E}" name="South West_x000a_(km of watercourse enhanced)" dataDxfId="1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E53DEE-F43D-4585-96FB-3E21C3A25843}" name="Table_4h" displayName="Table_4h" ref="A3:B7" totalsRowShown="0">
  <autoFilter ref="A3:B7" xr:uid="{D6E53DEE-F43D-4585-96FB-3E21C3A25843}">
    <filterColumn colId="0" hiddenButton="1"/>
    <filterColumn colId="1" hiddenButton="1"/>
  </autoFilter>
  <tableColumns count="2">
    <tableColumn id="1" xr3:uid="{F8496CBF-4F31-4FC8-9D28-38D9B153C9B3}" name="Time period" dataDxfId="9"/>
    <tableColumn id="2" xr3:uid="{D9D62222-F4CD-4E14-A998-0B78016F685C}" name="England's strategic road network_x000a_ (percentage)" dataDxfId="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AA46C2-58B6-4D69-B8B4-591A3BAA9DEF}" name="Data" displayName="Data" ref="C2:K44" totalsRowShown="0" headerRowDxfId="1">
  <autoFilter ref="C2:K44" xr:uid="{FAAA46C2-58B6-4D69-B8B4-591A3BAA9DEF}"/>
  <tableColumns count="9">
    <tableColumn id="1" xr3:uid="{B3559B5C-B51A-407B-85AF-3CA69B708E7E}" name="Year">
      <calculatedColumnFormula>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calculatedColumnFormula>
    </tableColumn>
    <tableColumn id="2" xr3:uid="{A463C5C4-F3AB-4E6D-B700-2FC7460A2D16}" name="KPI"/>
    <tableColumn id="3" xr3:uid="{6FEB44CB-EC77-4BEC-ABFA-96F666B9289A}" name="National Highways" dataDxfId="0"/>
    <tableColumn id="4" xr3:uid="{BB8954A1-AB7E-45C5-B5A4-0C07D090A121}" name="Yorkshire and North East"/>
    <tableColumn id="5" xr3:uid="{E90923E3-517A-49F6-893B-05498E7C695C}" name="North West_x000a_"/>
    <tableColumn id="6" xr3:uid="{5EBB2ED0-8300-4704-A6E5-F41684695581}" name="Midlands_x000a_"/>
    <tableColumn id="7" xr3:uid="{C4C9F157-232F-412A-B05E-7C2CEB039BFF}" name="East_x000a_"/>
    <tableColumn id="8" xr3:uid="{9D82DF29-2A8C-4FF1-807E-D4C2E0DB4AB8}" name="South East_x000a_"/>
    <tableColumn id="9" xr3:uid="{81CC03D3-1D69-4526-8C2A-A1AC75F98B20}" name="South West_x000a_"/>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3rfnopwl%2F2020-21-highways-england-regional-performance-disaggregation-1.xlsx&amp;wdOrigin=BROWSELINK" TargetMode="External"/><Relationship Id="rId13" Type="http://schemas.openxmlformats.org/officeDocument/2006/relationships/printerSettings" Target="../printerSettings/printerSettings1.bin"/><Relationship Id="rId3" Type="http://schemas.openxmlformats.org/officeDocument/2006/relationships/hyperlink" Target="https://nationalhighways.co.uk/media/dnen52ja/abr-v5-171023.pdf" TargetMode="External"/><Relationship Id="rId7" Type="http://schemas.openxmlformats.org/officeDocument/2006/relationships/hyperlink" Target="https://view.officeapps.live.com/op/view.aspx?src=https%3A%2F%2Fnationalhighways.co.uk%2Fmedia%2Fojuekorw%2F2021-22-performance-monitoring-statements.xlsx&amp;wdOrigin=BROWSELINK" TargetMode="External"/><Relationship Id="rId12" Type="http://schemas.openxmlformats.org/officeDocument/2006/relationships/hyperlink" Target="https://nationalhighways.co.uk/media/r3yhcw0q/20240719-national-highways-performance-monitoring-statements-year-end-2023-24.pdf" TargetMode="External"/><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view.officeapps.live.com/op/view.aspx?src=https%3A%2F%2Fnationalhighways.co.uk%2Fmedia%2Fvqspujiz%2F2022-23-performance-monitoring-statements.xlsx&amp;wdOrigin=BROWSELINK" TargetMode="External"/><Relationship Id="rId6" Type="http://schemas.openxmlformats.org/officeDocument/2006/relationships/hyperlink" Target="https://view.officeapps.live.com/op/view.aspx?src=https%3A%2F%2Fnationalhighways.co.uk%2Fmedia%2Fiyoedfe3%2Fperformance-monitoring-statements-2019-20.xlsm&amp;wdOrigin=BROWSELINK" TargetMode="External"/><Relationship Id="rId11" Type="http://schemas.openxmlformats.org/officeDocument/2006/relationships/hyperlink" Target="mailto:highways.monitor@orr.gov.uk" TargetMode="External"/><Relationship Id="rId5" Type="http://schemas.openxmlformats.org/officeDocument/2006/relationships/hyperlink" Target="https://view.officeapps.live.com/op/view.aspx?src=https%3A%2F%2Fnationalhighways.co.uk%2Fmedia%2Fhvwe1jpu%2F2020-21-performance-monitoring-statements.xlsx&amp;wdOrigin=BROWSELINK" TargetMode="External"/><Relationship Id="rId10" Type="http://schemas.openxmlformats.org/officeDocument/2006/relationships/hyperlink" Target="https://view.officeapps.live.com/op/view.aspx?src=https%3A%2F%2Fnationalhighways.co.uk%2Fmedia%2F420hq5fb%2F2021-22-nh-regional-performance-disaggregation-final.xlsx&amp;wdOrigin=BROWSELINK" TargetMode="External"/><Relationship Id="rId4" Type="http://schemas.openxmlformats.org/officeDocument/2006/relationships/hyperlink" Target="https://nationalhighways.co.uk/media/qe1cjb2b/nh-srn-simplified-map-2023.pdf" TargetMode="External"/><Relationship Id="rId9" Type="http://schemas.openxmlformats.org/officeDocument/2006/relationships/hyperlink" Target="https://view.officeapps.live.com/op/view.aspx?src=https%3A%2F%2Fnationalhighways.co.uk%2Fmedia%2Ffpxgaxyl%2F2021-22-nh-regional-performance-disaggregation-final.xls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1"/>
  <sheetViews>
    <sheetView tabSelected="1" zoomScaleNormal="100" workbookViewId="0"/>
  </sheetViews>
  <sheetFormatPr defaultColWidth="9" defaultRowHeight="15.5"/>
  <cols>
    <col min="1" max="1" width="156.6328125" style="3" customWidth="1"/>
    <col min="2" max="2" width="9" style="3" customWidth="1"/>
    <col min="3" max="3" width="10.6328125" style="3" bestFit="1" customWidth="1"/>
    <col min="4" max="16384" width="9" style="3"/>
  </cols>
  <sheetData>
    <row r="1" spans="1:1" customFormat="1" ht="30" customHeight="1">
      <c r="A1" s="110" t="s">
        <v>167</v>
      </c>
    </row>
    <row r="2" spans="1:1" customFormat="1" ht="338" customHeight="1">
      <c r="A2" s="1" t="s">
        <v>182</v>
      </c>
    </row>
    <row r="3" spans="1:1" customFormat="1" ht="87.75" customHeight="1">
      <c r="A3" s="1" t="s">
        <v>0</v>
      </c>
    </row>
    <row r="4" spans="1:1" customFormat="1" ht="93">
      <c r="A4" s="1" t="s">
        <v>1</v>
      </c>
    </row>
    <row r="5" spans="1:1" customFormat="1">
      <c r="A5" s="38" t="s">
        <v>2</v>
      </c>
    </row>
    <row r="6" spans="1:1" customFormat="1" ht="31">
      <c r="A6" s="1" t="s">
        <v>3</v>
      </c>
    </row>
    <row r="7" spans="1:1" customFormat="1">
      <c r="A7" s="1" t="s">
        <v>4</v>
      </c>
    </row>
    <row r="8" spans="1:1" customFormat="1">
      <c r="A8" s="28" t="s">
        <v>5</v>
      </c>
    </row>
    <row r="9" spans="1:1" customFormat="1" ht="18.5">
      <c r="A9" s="27" t="s">
        <v>6</v>
      </c>
    </row>
    <row r="10" spans="1:1" customFormat="1">
      <c r="A10" s="1" t="s">
        <v>7</v>
      </c>
    </row>
    <row r="11" spans="1:1" customFormat="1">
      <c r="A11" s="28" t="s">
        <v>191</v>
      </c>
    </row>
    <row r="12" spans="1:1" customFormat="1">
      <c r="A12" s="104" t="s">
        <v>8</v>
      </c>
    </row>
    <row r="13" spans="1:1" customFormat="1">
      <c r="A13" s="108" t="s">
        <v>9</v>
      </c>
    </row>
    <row r="14" spans="1:1" customFormat="1">
      <c r="A14" s="105" t="s">
        <v>10</v>
      </c>
    </row>
    <row r="15" spans="1:1" customFormat="1">
      <c r="A15" s="109" t="s">
        <v>11</v>
      </c>
    </row>
    <row r="16" spans="1:1" customFormat="1">
      <c r="A16" s="1" t="s">
        <v>12</v>
      </c>
    </row>
    <row r="17" spans="1:1" customFormat="1">
      <c r="A17" s="38" t="s">
        <v>13</v>
      </c>
    </row>
    <row r="18" spans="1:1" customFormat="1">
      <c r="A18" s="108" t="s">
        <v>14</v>
      </c>
    </row>
    <row r="19" spans="1:1" customFormat="1">
      <c r="A19" s="109" t="s">
        <v>15</v>
      </c>
    </row>
    <row r="20" spans="1:1" customFormat="1" ht="18.5">
      <c r="A20" s="29" t="s">
        <v>16</v>
      </c>
    </row>
    <row r="21" spans="1:1" customFormat="1">
      <c r="A21" s="18" t="s">
        <v>17</v>
      </c>
    </row>
    <row r="22" spans="1:1" customFormat="1" ht="18.5">
      <c r="A22" s="30" t="s">
        <v>18</v>
      </c>
    </row>
    <row r="23" spans="1:1" customFormat="1">
      <c r="A23" s="18" t="s">
        <v>19</v>
      </c>
    </row>
    <row r="24" spans="1:1" customFormat="1" ht="18.5">
      <c r="A24" s="30" t="s">
        <v>20</v>
      </c>
    </row>
    <row r="25" spans="1:1" customFormat="1">
      <c r="A25" s="18" t="s">
        <v>21</v>
      </c>
    </row>
    <row r="26" spans="1:1" customFormat="1" ht="18.5">
      <c r="A26" s="31" t="s">
        <v>22</v>
      </c>
    </row>
    <row r="27" spans="1:1" customFormat="1">
      <c r="A27" s="2" t="s">
        <v>164</v>
      </c>
    </row>
    <row r="28" spans="1:1" customFormat="1">
      <c r="A28" s="2" t="s">
        <v>165</v>
      </c>
    </row>
    <row r="29" spans="1:1" ht="18.5">
      <c r="A29" s="32" t="s">
        <v>23</v>
      </c>
    </row>
    <row r="30" spans="1:1">
      <c r="A30" s="33" t="s">
        <v>24</v>
      </c>
    </row>
    <row r="31" spans="1:1">
      <c r="A31" s="2" t="s">
        <v>166</v>
      </c>
    </row>
  </sheetData>
  <hyperlinks>
    <hyperlink ref="A12" r:id="rId1" xr:uid="{E96EEBB5-AAB1-4D36-8548-B5FC897C4378}"/>
    <hyperlink ref="A8" r:id="rId2" xr:uid="{0E09E683-DBC1-4802-810C-3D3949D9629D}"/>
    <hyperlink ref="A17" r:id="rId3" xr:uid="{974B414C-6C7B-4970-BB26-3CBD3C7A286A}"/>
    <hyperlink ref="A5" r:id="rId4" display="National Highway's roads" xr:uid="{E0D25EBD-01F0-4A2F-9D0B-89F9377FA29E}"/>
    <hyperlink ref="A14" r:id="rId5" xr:uid="{DBB15D64-D800-437E-80B8-8760C665A3C3}"/>
    <hyperlink ref="A15" r:id="rId6" xr:uid="{A0A185DC-369C-4D3A-BF51-CDDE0C26CC27}"/>
    <hyperlink ref="A13" r:id="rId7" xr:uid="{07E57B14-6E1A-45FE-9C20-7F620924FC30}"/>
    <hyperlink ref="A19" r:id="rId8" xr:uid="{E21F5713-A0F3-47F6-863B-3E1DD94288A8}"/>
    <hyperlink ref="A18" r:id="rId9" xr:uid="{6CFBC414-5ED7-4D3D-94F2-F7417468C0DF}"/>
    <hyperlink ref="A18:A19" r:id="rId10" display="Regional Performance Disaggregation (April 2021 to March 2022)" xr:uid="{FE5AB46B-B034-40E9-BB83-EC1022CC496D}"/>
    <hyperlink ref="A30" r:id="rId11" xr:uid="{D1187F94-1D0D-4172-82F6-43F91414015E}"/>
    <hyperlink ref="A11" r:id="rId12" xr:uid="{09A74D3A-A6D5-4EA8-82C7-B4457A3E6410}"/>
  </hyperlinks>
  <pageMargins left="0.70000000000000007" right="0.70000000000000007" top="0.75" bottom="0.75" header="0.30000000000000004" footer="0.30000000000000004"/>
  <pageSetup paperSize="9" fitToWidth="0"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12"/>
  <sheetViews>
    <sheetView zoomScaleNormal="100" workbookViewId="0"/>
  </sheetViews>
  <sheetFormatPr defaultRowHeight="14.5"/>
  <cols>
    <col min="1" max="1" width="16.1796875" customWidth="1"/>
    <col min="2" max="2" width="100.81640625" customWidth="1"/>
    <col min="3" max="3" width="9" customWidth="1"/>
  </cols>
  <sheetData>
    <row r="1" spans="1:2" ht="30" customHeight="1">
      <c r="A1" s="4" t="s">
        <v>25</v>
      </c>
      <c r="B1" s="13"/>
    </row>
    <row r="2" spans="1:2" ht="15.5">
      <c r="A2" s="3" t="s">
        <v>26</v>
      </c>
      <c r="B2" s="5"/>
    </row>
    <row r="3" spans="1:2" ht="15.5">
      <c r="A3" s="6" t="s">
        <v>27</v>
      </c>
      <c r="B3" s="7" t="s">
        <v>28</v>
      </c>
    </row>
    <row r="4" spans="1:2" ht="15.5">
      <c r="A4" s="9" t="s">
        <v>29</v>
      </c>
      <c r="B4" s="37" t="s">
        <v>163</v>
      </c>
    </row>
    <row r="5" spans="1:2" ht="31">
      <c r="A5" s="19" t="s">
        <v>30</v>
      </c>
      <c r="B5" s="37" t="s">
        <v>31</v>
      </c>
    </row>
    <row r="6" spans="1:2" ht="31">
      <c r="A6" s="19" t="s">
        <v>32</v>
      </c>
      <c r="B6" s="37" t="s">
        <v>33</v>
      </c>
    </row>
    <row r="7" spans="1:2" ht="31">
      <c r="A7" s="19" t="s">
        <v>34</v>
      </c>
      <c r="B7" s="37" t="s">
        <v>35</v>
      </c>
    </row>
    <row r="8" spans="1:2" ht="31">
      <c r="A8" s="19" t="s">
        <v>36</v>
      </c>
      <c r="B8" s="37" t="s">
        <v>37</v>
      </c>
    </row>
    <row r="9" spans="1:2" ht="62">
      <c r="A9" s="19" t="s">
        <v>38</v>
      </c>
      <c r="B9" s="37" t="s">
        <v>39</v>
      </c>
    </row>
    <row r="10" spans="1:2" ht="94.5" customHeight="1">
      <c r="A10" s="19" t="s">
        <v>40</v>
      </c>
      <c r="B10" s="37" t="s">
        <v>41</v>
      </c>
    </row>
    <row r="11" spans="1:2" ht="18.75" customHeight="1">
      <c r="A11" s="19"/>
      <c r="B11" s="37"/>
    </row>
    <row r="12" spans="1:2" ht="15.5">
      <c r="A12" s="19"/>
      <c r="B12" s="106"/>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12"/>
  <sheetViews>
    <sheetView zoomScaleNormal="100" workbookViewId="0"/>
  </sheetViews>
  <sheetFormatPr defaultRowHeight="14.5"/>
  <cols>
    <col min="1" max="1" width="34" bestFit="1" customWidth="1"/>
    <col min="2" max="2" width="87.6328125" customWidth="1"/>
  </cols>
  <sheetData>
    <row r="1" spans="1:2" ht="30" customHeight="1">
      <c r="A1" s="95" t="s">
        <v>42</v>
      </c>
      <c r="B1" s="2"/>
    </row>
    <row r="2" spans="1:2" ht="15.5">
      <c r="A2" s="21" t="s">
        <v>43</v>
      </c>
      <c r="B2" s="2"/>
    </row>
    <row r="3" spans="1:2" ht="15.5">
      <c r="A3" s="14" t="s">
        <v>44</v>
      </c>
      <c r="B3" s="15" t="s">
        <v>45</v>
      </c>
    </row>
    <row r="4" spans="1:2" ht="15.5">
      <c r="A4" s="17" t="s">
        <v>46</v>
      </c>
      <c r="B4" s="23" t="s">
        <v>47</v>
      </c>
    </row>
    <row r="5" spans="1:2" ht="31">
      <c r="A5" s="17" t="s">
        <v>48</v>
      </c>
      <c r="B5" s="23" t="s">
        <v>49</v>
      </c>
    </row>
    <row r="6" spans="1:2" ht="31">
      <c r="A6" s="17" t="s">
        <v>50</v>
      </c>
      <c r="B6" s="23" t="s">
        <v>51</v>
      </c>
    </row>
    <row r="7" spans="1:2" ht="31">
      <c r="A7" s="17" t="s">
        <v>52</v>
      </c>
      <c r="B7" s="23" t="s">
        <v>181</v>
      </c>
    </row>
    <row r="8" spans="1:2" ht="31">
      <c r="A8" s="17" t="s">
        <v>53</v>
      </c>
      <c r="B8" s="24" t="s">
        <v>54</v>
      </c>
    </row>
    <row r="9" spans="1:2" ht="31">
      <c r="A9" s="17" t="s">
        <v>55</v>
      </c>
      <c r="B9" s="15" t="s">
        <v>56</v>
      </c>
    </row>
    <row r="10" spans="1:2" ht="46.5">
      <c r="A10" s="17" t="s">
        <v>57</v>
      </c>
      <c r="B10" s="24" t="s">
        <v>58</v>
      </c>
    </row>
    <row r="11" spans="1:2" ht="46.5">
      <c r="A11" s="17" t="s">
        <v>59</v>
      </c>
      <c r="B11" s="24" t="s">
        <v>60</v>
      </c>
    </row>
    <row r="12" spans="1:2" ht="31">
      <c r="A12" s="17" t="s">
        <v>61</v>
      </c>
      <c r="B12" s="24" t="s">
        <v>62</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6B18-9E34-4F92-A40A-3E4A8702E4E6}">
  <sheetPr codeName="Sheet14">
    <tabColor rgb="FF7030A0"/>
    <pageSetUpPr autoPageBreaks="0"/>
  </sheetPr>
  <dimension ref="A1:AA99"/>
  <sheetViews>
    <sheetView zoomScale="80" zoomScaleNormal="80" workbookViewId="0">
      <selection activeCell="B1" sqref="B1"/>
    </sheetView>
  </sheetViews>
  <sheetFormatPr defaultColWidth="0" defaultRowHeight="15" customHeight="1" zeroHeight="1"/>
  <cols>
    <col min="1" max="1" width="4.36328125" style="43" customWidth="1"/>
    <col min="2" max="6" width="8.81640625" style="43" customWidth="1"/>
    <col min="7" max="7" width="6.81640625" style="43" customWidth="1"/>
    <col min="8" max="8" width="11.6328125" style="43" customWidth="1"/>
    <col min="9" max="12" width="8.81640625" style="43" customWidth="1"/>
    <col min="13" max="13" width="17.81640625" style="43" customWidth="1"/>
    <col min="14" max="14" width="10.08984375" style="43" customWidth="1"/>
    <col min="15" max="15" width="5" style="43" customWidth="1"/>
    <col min="16" max="16" width="4.08984375" style="43" customWidth="1"/>
    <col min="17" max="22" width="8.81640625" style="43" customWidth="1"/>
    <col min="23" max="23" width="8.36328125" style="43" customWidth="1"/>
    <col min="24" max="24" width="8.81640625" style="43" customWidth="1"/>
    <col min="25" max="25" width="1" style="43" hidden="1" customWidth="1"/>
    <col min="26" max="27" width="0" style="43" hidden="1" customWidth="1"/>
    <col min="28" max="16384" width="8.81640625" style="43" hidden="1"/>
  </cols>
  <sheetData>
    <row r="1" spans="2:27" ht="14.5"/>
    <row r="2" spans="2:27" ht="43">
      <c r="B2" s="65" t="s">
        <v>63</v>
      </c>
      <c r="C2" s="64"/>
      <c r="D2" s="64"/>
    </row>
    <row r="3" spans="2:27" ht="43">
      <c r="B3" s="65" t="s">
        <v>64</v>
      </c>
      <c r="C3" s="64"/>
      <c r="D3" s="64"/>
      <c r="E3" s="64"/>
      <c r="F3" s="64"/>
      <c r="G3" s="64"/>
      <c r="H3" s="64"/>
    </row>
    <row r="4" spans="2:27" ht="14.5">
      <c r="B4" s="63"/>
      <c r="C4" s="63"/>
      <c r="D4" s="63"/>
    </row>
    <row r="5" spans="2:27" ht="19">
      <c r="B5" s="62" t="s">
        <v>65</v>
      </c>
      <c r="C5" s="61"/>
      <c r="D5" s="61"/>
    </row>
    <row r="6" spans="2:27" ht="19">
      <c r="B6" s="61"/>
      <c r="C6" s="61"/>
      <c r="D6" s="61"/>
    </row>
    <row r="7" spans="2:27" ht="15.5">
      <c r="B7" s="114" t="s">
        <v>66</v>
      </c>
      <c r="C7" s="114"/>
      <c r="D7" s="114"/>
      <c r="E7" s="114"/>
      <c r="F7" s="114"/>
      <c r="G7" s="114"/>
      <c r="H7" s="114"/>
      <c r="I7" s="114"/>
      <c r="J7" s="114"/>
      <c r="K7" s="114"/>
      <c r="L7" s="114"/>
      <c r="M7" s="114"/>
      <c r="N7" s="114"/>
      <c r="O7" s="114"/>
      <c r="P7" s="114"/>
      <c r="Q7" s="114"/>
      <c r="R7" s="114"/>
      <c r="S7" s="114"/>
      <c r="T7" s="114"/>
      <c r="U7" s="114"/>
      <c r="V7" s="114"/>
      <c r="W7" s="114"/>
      <c r="X7" s="107"/>
      <c r="Y7" s="107"/>
      <c r="Z7" s="107"/>
      <c r="AA7" s="107"/>
    </row>
    <row r="8" spans="2:27" ht="15.5">
      <c r="B8" s="114"/>
      <c r="C8" s="114"/>
      <c r="D8" s="114"/>
      <c r="E8" s="114"/>
      <c r="F8" s="114"/>
      <c r="G8" s="114"/>
      <c r="H8" s="114"/>
      <c r="I8" s="114"/>
      <c r="J8" s="114"/>
      <c r="K8" s="114"/>
      <c r="L8" s="114"/>
      <c r="M8" s="114"/>
      <c r="N8" s="114"/>
      <c r="O8" s="114"/>
      <c r="P8" s="114"/>
      <c r="Q8" s="114"/>
      <c r="R8" s="114"/>
      <c r="S8" s="114"/>
      <c r="T8" s="114"/>
      <c r="U8" s="114"/>
      <c r="V8" s="114"/>
      <c r="W8" s="114"/>
      <c r="X8" s="107"/>
      <c r="Y8" s="107"/>
      <c r="Z8" s="107"/>
      <c r="AA8" s="107"/>
    </row>
    <row r="9" spans="2:27" ht="0.5" customHeight="1"/>
    <row r="10" spans="2:27" ht="20.25" customHeight="1">
      <c r="B10" s="58" t="s">
        <v>67</v>
      </c>
      <c r="C10" s="60"/>
      <c r="D10" s="60"/>
      <c r="H10" s="58" t="s">
        <v>168</v>
      </c>
      <c r="O10" s="59"/>
      <c r="Q10" s="58" t="s">
        <v>68</v>
      </c>
      <c r="S10" s="57"/>
    </row>
    <row r="11" spans="2:27" ht="15" customHeight="1">
      <c r="X11" s="56"/>
    </row>
    <row r="12" spans="2:27" ht="15" customHeight="1">
      <c r="H12" s="53" t="str">
        <f>IFERROR("Best performing region ("&amp;workings!A59&amp;")","")</f>
        <v>Best performing region (2023-24)</v>
      </c>
      <c r="I12" s="52"/>
      <c r="J12" s="52"/>
      <c r="K12" s="52"/>
      <c r="L12" s="51"/>
      <c r="M12" s="55" t="str">
        <f>workings!B68</f>
        <v xml:space="preserve"> </v>
      </c>
      <c r="N12" s="52"/>
    </row>
    <row r="13" spans="2:27" ht="15" customHeight="1">
      <c r="H13" s="53"/>
      <c r="I13" s="52"/>
      <c r="J13" s="52"/>
      <c r="K13" s="52"/>
      <c r="L13" s="52"/>
      <c r="M13" s="54"/>
      <c r="N13" s="52"/>
    </row>
    <row r="14" spans="2:27" ht="15" customHeight="1">
      <c r="H14" s="53" t="str">
        <f>IFERROR("Worst performing region ("&amp;workings!A59&amp;")","")</f>
        <v>Worst performing region (2023-24)</v>
      </c>
      <c r="I14" s="52"/>
      <c r="J14" s="52"/>
      <c r="K14" s="52"/>
      <c r="L14" s="51"/>
      <c r="M14" s="50" t="str">
        <f>workings!B69</f>
        <v/>
      </c>
    </row>
    <row r="15" spans="2:27" ht="15" customHeight="1">
      <c r="H15" s="111" t="str">
        <f>workings!A71</f>
        <v>Note: data only available at a national level.</v>
      </c>
      <c r="I15" s="111"/>
      <c r="J15" s="111"/>
      <c r="K15" s="111"/>
      <c r="L15" s="111"/>
      <c r="M15" s="111"/>
      <c r="N15" s="111"/>
      <c r="O15" s="111"/>
    </row>
    <row r="16" spans="2:27" ht="15" customHeight="1">
      <c r="H16" s="111"/>
      <c r="I16" s="111"/>
      <c r="J16" s="111"/>
      <c r="K16" s="111"/>
      <c r="L16" s="111"/>
      <c r="M16" s="111"/>
      <c r="N16" s="111"/>
      <c r="O16" s="111"/>
      <c r="Y16" s="49"/>
    </row>
    <row r="17" spans="8:23" ht="14.75" customHeight="1"/>
    <row r="18" spans="8:23" ht="15.5">
      <c r="H18" s="112" t="str">
        <f>workings!A23</f>
        <v>The number of links in exceedance of the legal nitrogen dioxide (NO2) limits as set by the European Union and accepted by the government (KPI).</v>
      </c>
      <c r="I18" s="112"/>
      <c r="J18" s="112"/>
      <c r="K18" s="112"/>
      <c r="L18" s="112"/>
      <c r="M18" s="112"/>
      <c r="N18" s="112"/>
      <c r="O18" s="112"/>
      <c r="P18" s="112"/>
      <c r="Q18" s="112"/>
      <c r="R18" s="112"/>
      <c r="S18" s="112"/>
      <c r="T18" s="112"/>
      <c r="U18" s="112"/>
      <c r="V18" s="112"/>
      <c r="W18" s="112"/>
    </row>
    <row r="19" spans="8:23" ht="42" customHeight="1">
      <c r="H19" s="113" t="str">
        <f>workings!A24</f>
        <v>National-level target for road period 2: Bring links based on the Pollution Climate Mapping model into compliance with legal nitrogen (NO2) limits in the shortest timescales possible.</v>
      </c>
      <c r="I19" s="113"/>
      <c r="J19" s="113"/>
      <c r="K19" s="113"/>
      <c r="L19" s="113"/>
      <c r="M19" s="113"/>
      <c r="N19" s="113"/>
      <c r="O19" s="113"/>
      <c r="P19" s="113"/>
      <c r="Q19" s="113"/>
      <c r="R19" s="113"/>
      <c r="S19" s="113"/>
      <c r="T19" s="113"/>
      <c r="U19" s="113"/>
      <c r="V19" s="113"/>
      <c r="W19" s="113"/>
    </row>
    <row r="20" spans="8:23" ht="15.5">
      <c r="H20" s="48" t="str">
        <f>workings!A25</f>
        <v>Measure: The number of links in exceedance of the legal nitrogen dioxide (NO2) limits.</v>
      </c>
      <c r="I20" s="47"/>
      <c r="J20" s="46"/>
      <c r="K20" s="46"/>
      <c r="L20" s="46"/>
      <c r="M20" s="46"/>
      <c r="N20" s="46"/>
      <c r="O20" s="46"/>
      <c r="P20" s="45"/>
      <c r="Q20" s="45"/>
      <c r="R20" s="45"/>
      <c r="S20" s="45"/>
      <c r="T20" s="45"/>
      <c r="U20" s="45"/>
      <c r="V20" s="45"/>
      <c r="W20" s="44"/>
    </row>
    <row r="21" spans="8:23" ht="15" customHeight="1"/>
    <row r="22" spans="8:23" ht="15" customHeight="1"/>
    <row r="23" spans="8:23" ht="15" customHeight="1"/>
    <row r="24" spans="8:23" ht="15" customHeight="1"/>
    <row r="25" spans="8:23" ht="15" customHeight="1"/>
    <row r="26" spans="8:23" ht="15" customHeight="1"/>
    <row r="27" spans="8:23" ht="15" customHeight="1"/>
    <row r="28" spans="8:23" ht="15" customHeight="1"/>
    <row r="29" spans="8:23" ht="15" customHeight="1"/>
    <row r="30" spans="8:23" ht="15" customHeight="1"/>
    <row r="31" spans="8:23" ht="15" customHeight="1"/>
    <row r="32" spans="8: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sheetProtection selectLockedCells="1" pivotTables="0"/>
  <mergeCells count="4">
    <mergeCell ref="H15:O16"/>
    <mergeCell ref="H18:W18"/>
    <mergeCell ref="H19:W19"/>
    <mergeCell ref="B7:W8"/>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002060"/>
  </sheetPr>
  <dimension ref="A1:H15"/>
  <sheetViews>
    <sheetView zoomScaleNormal="100" workbookViewId="0"/>
  </sheetViews>
  <sheetFormatPr defaultColWidth="9" defaultRowHeight="14.5"/>
  <cols>
    <col min="1" max="1" width="50.6328125" customWidth="1"/>
    <col min="2" max="8" width="20.6328125" style="12" customWidth="1"/>
  </cols>
  <sheetData>
    <row r="1" spans="1:8" ht="30" customHeight="1">
      <c r="A1" s="8" t="s">
        <v>169</v>
      </c>
    </row>
    <row r="2" spans="1:8" s="67" customFormat="1" ht="20.149999999999999" customHeight="1">
      <c r="A2" s="19" t="s">
        <v>43</v>
      </c>
    </row>
    <row r="3" spans="1:8" s="67" customFormat="1" ht="20.149999999999999" customHeight="1">
      <c r="A3" s="20" t="s">
        <v>69</v>
      </c>
      <c r="B3" s="20"/>
      <c r="C3" s="20"/>
      <c r="D3" s="20"/>
    </row>
    <row r="4" spans="1:8" s="102" customFormat="1" ht="20.149999999999999" customHeight="1">
      <c r="A4" s="103" t="s">
        <v>70</v>
      </c>
    </row>
    <row r="5" spans="1:8" s="67" customFormat="1" ht="20.149999999999999" customHeight="1">
      <c r="A5" s="91" t="s">
        <v>71</v>
      </c>
    </row>
    <row r="6" spans="1:8" s="16" customFormat="1" ht="108.5">
      <c r="A6" s="10" t="s">
        <v>72</v>
      </c>
      <c r="B6" s="34" t="s">
        <v>170</v>
      </c>
      <c r="C6" s="22" t="s">
        <v>73</v>
      </c>
      <c r="D6" s="22" t="s">
        <v>74</v>
      </c>
      <c r="E6" s="22" t="s">
        <v>75</v>
      </c>
      <c r="F6" s="22" t="s">
        <v>76</v>
      </c>
      <c r="G6" s="22" t="s">
        <v>77</v>
      </c>
      <c r="H6" s="22" t="s">
        <v>78</v>
      </c>
    </row>
    <row r="7" spans="1:8" s="16" customFormat="1" ht="20.5" customHeight="1">
      <c r="A7" s="10" t="s">
        <v>79</v>
      </c>
      <c r="B7" s="97">
        <v>62</v>
      </c>
      <c r="C7" s="35" t="s">
        <v>80</v>
      </c>
      <c r="D7" s="35" t="s">
        <v>80</v>
      </c>
      <c r="E7" s="35" t="s">
        <v>80</v>
      </c>
      <c r="F7" s="35" t="s">
        <v>80</v>
      </c>
      <c r="G7" s="35" t="s">
        <v>80</v>
      </c>
      <c r="H7" s="35" t="s">
        <v>80</v>
      </c>
    </row>
    <row r="8" spans="1:8" s="16" customFormat="1" ht="20.5" customHeight="1">
      <c r="A8" s="10" t="s">
        <v>81</v>
      </c>
      <c r="B8" s="97">
        <v>141</v>
      </c>
      <c r="C8" s="35" t="s">
        <v>80</v>
      </c>
      <c r="D8" s="35" t="s">
        <v>80</v>
      </c>
      <c r="E8" s="35" t="s">
        <v>80</v>
      </c>
      <c r="F8" s="35" t="s">
        <v>80</v>
      </c>
      <c r="G8" s="35" t="s">
        <v>80</v>
      </c>
      <c r="H8" s="35" t="s">
        <v>80</v>
      </c>
    </row>
    <row r="9" spans="1:8" s="16" customFormat="1" ht="20.5" customHeight="1">
      <c r="A9" s="10" t="s">
        <v>82</v>
      </c>
      <c r="B9" s="97">
        <v>448</v>
      </c>
      <c r="C9" s="35" t="s">
        <v>80</v>
      </c>
      <c r="D9" s="35" t="s">
        <v>80</v>
      </c>
      <c r="E9" s="35" t="s">
        <v>80</v>
      </c>
      <c r="F9" s="35" t="s">
        <v>80</v>
      </c>
      <c r="G9" s="35" t="s">
        <v>80</v>
      </c>
      <c r="H9" s="35" t="s">
        <v>80</v>
      </c>
    </row>
    <row r="10" spans="1:8" s="16" customFormat="1" ht="20.5" customHeight="1">
      <c r="A10" s="39" t="s">
        <v>83</v>
      </c>
      <c r="B10" s="97">
        <v>300</v>
      </c>
      <c r="C10" s="35" t="s">
        <v>80</v>
      </c>
      <c r="D10" s="35" t="s">
        <v>80</v>
      </c>
      <c r="E10" s="35" t="s">
        <v>80</v>
      </c>
      <c r="F10" s="35" t="s">
        <v>80</v>
      </c>
      <c r="G10" s="35" t="s">
        <v>80</v>
      </c>
      <c r="H10" s="35" t="s">
        <v>80</v>
      </c>
    </row>
    <row r="11" spans="1:8" s="16" customFormat="1" ht="20.5" customHeight="1" thickBot="1">
      <c r="A11" s="40" t="s">
        <v>84</v>
      </c>
      <c r="B11" s="98">
        <v>223</v>
      </c>
      <c r="C11" s="41" t="s">
        <v>80</v>
      </c>
      <c r="D11" s="42" t="s">
        <v>80</v>
      </c>
      <c r="E11" s="42" t="s">
        <v>80</v>
      </c>
      <c r="F11" s="42" t="s">
        <v>80</v>
      </c>
      <c r="G11" s="42" t="s">
        <v>80</v>
      </c>
      <c r="H11" s="42" t="s">
        <v>80</v>
      </c>
    </row>
    <row r="12" spans="1:8" s="16" customFormat="1" ht="20.25" customHeight="1" thickTop="1">
      <c r="A12" s="10" t="s">
        <v>85</v>
      </c>
      <c r="B12" s="97">
        <v>2111</v>
      </c>
      <c r="C12" s="35">
        <v>0</v>
      </c>
      <c r="D12" s="35">
        <v>1528</v>
      </c>
      <c r="E12" s="35">
        <v>25</v>
      </c>
      <c r="F12" s="35">
        <v>2</v>
      </c>
      <c r="G12" s="35">
        <v>224</v>
      </c>
      <c r="H12" s="35">
        <v>332</v>
      </c>
    </row>
    <row r="13" spans="1:8" s="16" customFormat="1" ht="20.25" customHeight="1">
      <c r="A13" s="10" t="s">
        <v>86</v>
      </c>
      <c r="B13" s="97">
        <v>1067</v>
      </c>
      <c r="C13" s="35">
        <v>311</v>
      </c>
      <c r="D13" s="35">
        <v>1</v>
      </c>
      <c r="E13" s="35">
        <v>0</v>
      </c>
      <c r="F13" s="35">
        <v>0</v>
      </c>
      <c r="G13" s="35">
        <v>755</v>
      </c>
      <c r="H13" s="35">
        <v>0</v>
      </c>
    </row>
    <row r="14" spans="1:8" s="16" customFormat="1" ht="20.25" customHeight="1">
      <c r="A14" s="10" t="s">
        <v>87</v>
      </c>
      <c r="B14" s="97">
        <v>1029</v>
      </c>
      <c r="C14" s="35">
        <v>126</v>
      </c>
      <c r="D14" s="35">
        <v>442</v>
      </c>
      <c r="E14" s="35">
        <v>46</v>
      </c>
      <c r="F14" s="35">
        <v>0</v>
      </c>
      <c r="G14" s="35">
        <v>363</v>
      </c>
      <c r="H14" s="35">
        <v>8</v>
      </c>
    </row>
    <row r="15" spans="1:8" s="16" customFormat="1" ht="20.25" customHeight="1">
      <c r="A15" s="10" t="s">
        <v>160</v>
      </c>
      <c r="B15" s="97">
        <v>990</v>
      </c>
      <c r="C15" s="35" t="s">
        <v>80</v>
      </c>
      <c r="D15" s="35" t="s">
        <v>80</v>
      </c>
      <c r="E15" s="35" t="s">
        <v>80</v>
      </c>
      <c r="F15" s="35" t="s">
        <v>80</v>
      </c>
      <c r="G15" s="35" t="s">
        <v>80</v>
      </c>
      <c r="H15" s="35" t="s">
        <v>80</v>
      </c>
    </row>
  </sheetData>
  <phoneticPr fontId="171"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105F-99AD-43C0-BA08-B7368397BA95}">
  <sheetPr codeName="Sheet5">
    <tabColor rgb="FF002060"/>
  </sheetPr>
  <dimension ref="A1:B8"/>
  <sheetViews>
    <sheetView zoomScaleNormal="100" workbookViewId="0">
      <selection activeCell="B8" sqref="B8"/>
    </sheetView>
  </sheetViews>
  <sheetFormatPr defaultRowHeight="14.5"/>
  <cols>
    <col min="1" max="1" width="50.6328125" customWidth="1"/>
    <col min="2" max="8" width="20.6328125" customWidth="1"/>
  </cols>
  <sheetData>
    <row r="1" spans="1:2" ht="30" customHeight="1">
      <c r="A1" s="8" t="s">
        <v>171</v>
      </c>
      <c r="B1" s="12"/>
    </row>
    <row r="2" spans="1:2" s="67" customFormat="1" ht="20.149999999999999" customHeight="1">
      <c r="A2" s="19" t="s">
        <v>43</v>
      </c>
    </row>
    <row r="3" spans="1:2" s="67" customFormat="1" ht="20.149999999999999" customHeight="1">
      <c r="A3" s="92" t="s">
        <v>88</v>
      </c>
    </row>
    <row r="4" spans="1:2" ht="50.15" customHeight="1">
      <c r="A4" s="10" t="s">
        <v>72</v>
      </c>
      <c r="B4" s="22" t="s">
        <v>190</v>
      </c>
    </row>
    <row r="5" spans="1:2" ht="20.149999999999999" customHeight="1">
      <c r="A5" s="10" t="s">
        <v>89</v>
      </c>
      <c r="B5" s="35">
        <v>147</v>
      </c>
    </row>
    <row r="6" spans="1:2" ht="20.149999999999999" customHeight="1">
      <c r="A6" s="10" t="s">
        <v>86</v>
      </c>
      <c r="B6" s="35">
        <v>364</v>
      </c>
    </row>
    <row r="7" spans="1:2" ht="20.5" customHeight="1">
      <c r="A7" s="10" t="s">
        <v>87</v>
      </c>
      <c r="B7" s="35">
        <v>1622</v>
      </c>
    </row>
    <row r="8" spans="1:2" ht="20.5" customHeight="1">
      <c r="A8" s="10" t="s">
        <v>160</v>
      </c>
      <c r="B8" s="35">
        <v>2389</v>
      </c>
    </row>
  </sheetData>
  <phoneticPr fontId="171"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6">
    <tabColor rgb="FF002060"/>
  </sheetPr>
  <dimension ref="A1:H8"/>
  <sheetViews>
    <sheetView zoomScaleNormal="100" workbookViewId="0"/>
  </sheetViews>
  <sheetFormatPr defaultColWidth="9" defaultRowHeight="14.5"/>
  <cols>
    <col min="1" max="1" width="50.6328125" customWidth="1"/>
    <col min="2" max="8" width="20.6328125" style="12" customWidth="1"/>
  </cols>
  <sheetData>
    <row r="1" spans="1:8" ht="30" customHeight="1">
      <c r="A1" s="8" t="s">
        <v>172</v>
      </c>
    </row>
    <row r="2" spans="1:8" s="67" customFormat="1" ht="20.149999999999999" customHeight="1">
      <c r="A2" s="19" t="s">
        <v>43</v>
      </c>
    </row>
    <row r="3" spans="1:8" s="67" customFormat="1" ht="20.149999999999999" customHeight="1">
      <c r="A3" s="91" t="s">
        <v>173</v>
      </c>
      <c r="B3" s="91"/>
      <c r="C3" s="91"/>
    </row>
    <row r="4" spans="1:8" s="11" customFormat="1" ht="93">
      <c r="A4" s="10" t="s">
        <v>72</v>
      </c>
      <c r="B4" s="34" t="s">
        <v>174</v>
      </c>
      <c r="C4" s="22" t="s">
        <v>175</v>
      </c>
      <c r="D4" s="22" t="s">
        <v>176</v>
      </c>
      <c r="E4" s="22" t="s">
        <v>177</v>
      </c>
      <c r="F4" s="22" t="s">
        <v>178</v>
      </c>
      <c r="G4" s="22" t="s">
        <v>179</v>
      </c>
      <c r="H4" s="22" t="s">
        <v>180</v>
      </c>
    </row>
    <row r="5" spans="1:8" ht="20.149999999999999" customHeight="1">
      <c r="A5" s="10" t="s">
        <v>89</v>
      </c>
      <c r="B5" s="96">
        <v>31</v>
      </c>
      <c r="C5" s="36">
        <v>7</v>
      </c>
      <c r="D5" s="36">
        <v>2</v>
      </c>
      <c r="E5" s="36">
        <v>11</v>
      </c>
      <c r="F5" s="36">
        <v>0</v>
      </c>
      <c r="G5" s="36">
        <v>8</v>
      </c>
      <c r="H5" s="36">
        <v>3</v>
      </c>
    </row>
    <row r="6" spans="1:8" ht="20.149999999999999" customHeight="1">
      <c r="A6" s="10" t="s">
        <v>86</v>
      </c>
      <c r="B6" s="96">
        <v>31</v>
      </c>
      <c r="C6" s="36">
        <v>7</v>
      </c>
      <c r="D6" s="36">
        <v>2</v>
      </c>
      <c r="E6" s="36">
        <v>11</v>
      </c>
      <c r="F6" s="36">
        <v>0</v>
      </c>
      <c r="G6" s="36">
        <v>8</v>
      </c>
      <c r="H6" s="36">
        <v>3</v>
      </c>
    </row>
    <row r="7" spans="1:8" ht="20.5" customHeight="1">
      <c r="A7" s="10" t="s">
        <v>87</v>
      </c>
      <c r="B7" s="96">
        <v>43</v>
      </c>
      <c r="C7" s="36">
        <v>10</v>
      </c>
      <c r="D7" s="36">
        <v>10</v>
      </c>
      <c r="E7" s="36">
        <v>11</v>
      </c>
      <c r="F7" s="36">
        <v>0</v>
      </c>
      <c r="G7" s="36">
        <v>9</v>
      </c>
      <c r="H7" s="36">
        <v>3</v>
      </c>
    </row>
    <row r="8" spans="1:8" ht="20.5" customHeight="1">
      <c r="A8" s="10" t="s">
        <v>160</v>
      </c>
      <c r="B8" s="96">
        <v>30</v>
      </c>
      <c r="C8" s="36" t="s">
        <v>80</v>
      </c>
      <c r="D8" s="36" t="s">
        <v>80</v>
      </c>
      <c r="E8" s="36" t="s">
        <v>80</v>
      </c>
      <c r="F8" s="36" t="s">
        <v>80</v>
      </c>
      <c r="G8" s="36" t="s">
        <v>80</v>
      </c>
      <c r="H8" s="36" t="s">
        <v>80</v>
      </c>
    </row>
  </sheetData>
  <pageMargins left="0.7" right="0.7" top="0.75" bottom="0.75" header="0.3" footer="0.3"/>
  <pageSetup paperSize="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7">
    <tabColor rgb="FF002060"/>
  </sheetPr>
  <dimension ref="A1:B9"/>
  <sheetViews>
    <sheetView zoomScaleNormal="100" workbookViewId="0"/>
  </sheetViews>
  <sheetFormatPr defaultRowHeight="14.5"/>
  <cols>
    <col min="1" max="1" width="50.6328125" customWidth="1"/>
    <col min="2" max="8" width="20.6328125" customWidth="1"/>
  </cols>
  <sheetData>
    <row r="1" spans="1:2" ht="30" customHeight="1">
      <c r="A1" s="8" t="s">
        <v>189</v>
      </c>
      <c r="B1" s="8"/>
    </row>
    <row r="2" spans="1:2" ht="20.149999999999999" customHeight="1">
      <c r="A2" s="9" t="s">
        <v>43</v>
      </c>
      <c r="B2" s="9"/>
    </row>
    <row r="3" spans="1:2" ht="20.149999999999999" customHeight="1">
      <c r="A3" s="9" t="s">
        <v>90</v>
      </c>
      <c r="B3" s="9"/>
    </row>
    <row r="4" spans="1:2" ht="20.149999999999999" customHeight="1">
      <c r="A4" s="25" t="s">
        <v>91</v>
      </c>
      <c r="B4" s="25"/>
    </row>
    <row r="5" spans="1:2" ht="50.15" customHeight="1">
      <c r="A5" s="10" t="s">
        <v>72</v>
      </c>
      <c r="B5" s="22" t="s">
        <v>92</v>
      </c>
    </row>
    <row r="6" spans="1:2" ht="20.149999999999999" customHeight="1">
      <c r="A6" s="10" t="s">
        <v>93</v>
      </c>
      <c r="B6" s="100" t="s">
        <v>94</v>
      </c>
    </row>
    <row r="7" spans="1:2" ht="20.149999999999999" customHeight="1">
      <c r="A7" s="10" t="s">
        <v>86</v>
      </c>
      <c r="B7" s="101">
        <v>37178</v>
      </c>
    </row>
    <row r="8" spans="1:2" ht="20.5" customHeight="1">
      <c r="A8" s="10" t="s">
        <v>87</v>
      </c>
      <c r="B8" s="101">
        <v>44809</v>
      </c>
    </row>
    <row r="9" spans="1:2" ht="20.5" customHeight="1">
      <c r="A9" s="10" t="s">
        <v>160</v>
      </c>
      <c r="B9" s="101">
        <v>45266</v>
      </c>
    </row>
  </sheetData>
  <phoneticPr fontId="171"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8">
    <tabColor rgb="FF002060"/>
  </sheetPr>
  <dimension ref="A1:H13"/>
  <sheetViews>
    <sheetView zoomScale="98" zoomScaleNormal="98" workbookViewId="0"/>
  </sheetViews>
  <sheetFormatPr defaultRowHeight="14.5"/>
  <cols>
    <col min="1" max="1" width="50.6328125" customWidth="1"/>
    <col min="2" max="8" width="20.6328125" customWidth="1"/>
  </cols>
  <sheetData>
    <row r="1" spans="1:8" ht="30" customHeight="1">
      <c r="A1" s="86" t="s">
        <v>161</v>
      </c>
      <c r="B1" s="12"/>
      <c r="C1" s="12"/>
      <c r="D1" s="12"/>
      <c r="E1" s="12"/>
      <c r="F1" s="12"/>
      <c r="G1" s="12"/>
      <c r="H1" s="12"/>
    </row>
    <row r="2" spans="1:8" s="67" customFormat="1" ht="20" customHeight="1">
      <c r="A2" s="19" t="s">
        <v>43</v>
      </c>
    </row>
    <row r="3" spans="1:8" s="67" customFormat="1" ht="20" customHeight="1">
      <c r="A3" s="103" t="s">
        <v>70</v>
      </c>
    </row>
    <row r="4" spans="1:8" ht="50.5" customHeight="1">
      <c r="A4" s="10" t="s">
        <v>72</v>
      </c>
      <c r="B4" s="34" t="s">
        <v>95</v>
      </c>
      <c r="C4" s="22" t="s">
        <v>96</v>
      </c>
      <c r="D4" s="22" t="s">
        <v>97</v>
      </c>
      <c r="E4" s="22" t="s">
        <v>98</v>
      </c>
      <c r="F4" s="22" t="s">
        <v>99</v>
      </c>
      <c r="G4" s="22" t="s">
        <v>100</v>
      </c>
      <c r="H4" s="22" t="s">
        <v>101</v>
      </c>
    </row>
    <row r="5" spans="1:8" ht="20.149999999999999" customHeight="1">
      <c r="A5" s="10" t="s">
        <v>79</v>
      </c>
      <c r="B5" s="89">
        <v>406523</v>
      </c>
      <c r="C5" s="35" t="s">
        <v>80</v>
      </c>
      <c r="D5" s="35" t="s">
        <v>80</v>
      </c>
      <c r="E5" s="35" t="s">
        <v>80</v>
      </c>
      <c r="F5" s="35" t="s">
        <v>80</v>
      </c>
      <c r="G5" s="35" t="s">
        <v>80</v>
      </c>
      <c r="H5" s="35" t="s">
        <v>80</v>
      </c>
    </row>
    <row r="6" spans="1:8" ht="20.149999999999999" customHeight="1">
      <c r="A6" s="10" t="s">
        <v>81</v>
      </c>
      <c r="B6" s="89">
        <v>326535</v>
      </c>
      <c r="C6" s="35" t="s">
        <v>80</v>
      </c>
      <c r="D6" s="35" t="s">
        <v>80</v>
      </c>
      <c r="E6" s="35" t="s">
        <v>80</v>
      </c>
      <c r="F6" s="35" t="s">
        <v>80</v>
      </c>
      <c r="G6" s="35" t="s">
        <v>80</v>
      </c>
      <c r="H6" s="35" t="s">
        <v>80</v>
      </c>
    </row>
    <row r="7" spans="1:8" ht="20.149999999999999" customHeight="1">
      <c r="A7" s="10" t="s">
        <v>82</v>
      </c>
      <c r="B7" s="89">
        <v>255000</v>
      </c>
      <c r="C7" s="35" t="s">
        <v>80</v>
      </c>
      <c r="D7" s="35" t="s">
        <v>80</v>
      </c>
      <c r="E7" s="35" t="s">
        <v>80</v>
      </c>
      <c r="F7" s="35" t="s">
        <v>80</v>
      </c>
      <c r="G7" s="35" t="s">
        <v>80</v>
      </c>
      <c r="H7" s="35" t="s">
        <v>80</v>
      </c>
    </row>
    <row r="8" spans="1:8" ht="20.149999999999999" customHeight="1">
      <c r="A8" s="39" t="s">
        <v>83</v>
      </c>
      <c r="B8" s="89">
        <v>293684</v>
      </c>
      <c r="C8" s="35" t="s">
        <v>80</v>
      </c>
      <c r="D8" s="35" t="s">
        <v>80</v>
      </c>
      <c r="E8" s="35" t="s">
        <v>80</v>
      </c>
      <c r="F8" s="35" t="s">
        <v>80</v>
      </c>
      <c r="G8" s="35" t="s">
        <v>80</v>
      </c>
      <c r="H8" s="35" t="s">
        <v>80</v>
      </c>
    </row>
    <row r="9" spans="1:8" ht="20.149999999999999" customHeight="1" thickBot="1">
      <c r="A9" s="40" t="s">
        <v>84</v>
      </c>
      <c r="B9" s="90">
        <v>563847</v>
      </c>
      <c r="C9" s="42" t="s">
        <v>80</v>
      </c>
      <c r="D9" s="42" t="s">
        <v>80</v>
      </c>
      <c r="E9" s="42" t="s">
        <v>80</v>
      </c>
      <c r="F9" s="42" t="s">
        <v>80</v>
      </c>
      <c r="G9" s="42" t="s">
        <v>80</v>
      </c>
      <c r="H9" s="42" t="s">
        <v>80</v>
      </c>
    </row>
    <row r="10" spans="1:8" ht="20.25" customHeight="1" thickTop="1">
      <c r="A10" s="10" t="s">
        <v>89</v>
      </c>
      <c r="B10" s="89">
        <v>365353</v>
      </c>
      <c r="C10" s="35" t="s">
        <v>80</v>
      </c>
      <c r="D10" s="35" t="s">
        <v>80</v>
      </c>
      <c r="E10" s="35" t="s">
        <v>80</v>
      </c>
      <c r="F10" s="35" t="s">
        <v>80</v>
      </c>
      <c r="G10" s="35" t="s">
        <v>80</v>
      </c>
      <c r="H10" s="35" t="s">
        <v>80</v>
      </c>
    </row>
    <row r="11" spans="1:8" ht="20.25" customHeight="1">
      <c r="A11" s="7" t="s">
        <v>102</v>
      </c>
      <c r="B11" s="84">
        <v>286238</v>
      </c>
      <c r="C11" s="26">
        <v>56873</v>
      </c>
      <c r="D11" s="26">
        <v>32402</v>
      </c>
      <c r="E11" s="26">
        <v>47102</v>
      </c>
      <c r="F11" s="26">
        <v>34714</v>
      </c>
      <c r="G11" s="26">
        <v>99538</v>
      </c>
      <c r="H11" s="26">
        <v>15609</v>
      </c>
    </row>
    <row r="12" spans="1:8" ht="20.25" customHeight="1">
      <c r="A12" s="10" t="s">
        <v>87</v>
      </c>
      <c r="B12" s="89">
        <v>346910</v>
      </c>
      <c r="C12" s="35">
        <v>93692</v>
      </c>
      <c r="D12" s="35">
        <v>68143</v>
      </c>
      <c r="E12" s="35">
        <v>45759</v>
      </c>
      <c r="F12" s="35">
        <v>17137</v>
      </c>
      <c r="G12" s="35">
        <v>82609</v>
      </c>
      <c r="H12" s="35">
        <v>39569</v>
      </c>
    </row>
    <row r="13" spans="1:8" ht="20.25" customHeight="1">
      <c r="A13" s="10" t="s">
        <v>160</v>
      </c>
      <c r="B13" s="89">
        <v>410562</v>
      </c>
      <c r="C13" s="35" t="s">
        <v>80</v>
      </c>
      <c r="D13" s="35" t="s">
        <v>80</v>
      </c>
      <c r="E13" s="35" t="s">
        <v>80</v>
      </c>
      <c r="F13" s="35" t="s">
        <v>80</v>
      </c>
      <c r="G13" s="35" t="s">
        <v>80</v>
      </c>
      <c r="H13" s="35" t="s">
        <v>80</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9">
    <tabColor rgb="FF002060"/>
  </sheetPr>
  <dimension ref="A1:E27"/>
  <sheetViews>
    <sheetView zoomScaleNormal="100" workbookViewId="0"/>
  </sheetViews>
  <sheetFormatPr defaultRowHeight="14.5"/>
  <cols>
    <col min="1" max="1" width="50.6328125" customWidth="1"/>
    <col min="2" max="2" width="20.6328125" customWidth="1"/>
    <col min="3" max="8" width="15.6328125" customWidth="1"/>
  </cols>
  <sheetData>
    <row r="1" spans="1:2" ht="30" customHeight="1">
      <c r="A1" s="86" t="s">
        <v>187</v>
      </c>
      <c r="B1" s="12"/>
    </row>
    <row r="2" spans="1:2" s="67" customFormat="1" ht="20.149999999999999" customHeight="1">
      <c r="A2" s="19" t="s">
        <v>43</v>
      </c>
    </row>
    <row r="3" spans="1:2" ht="50.15" customHeight="1">
      <c r="A3" s="10" t="s">
        <v>72</v>
      </c>
      <c r="B3" s="22" t="s">
        <v>188</v>
      </c>
    </row>
    <row r="4" spans="1:2" ht="20.25" customHeight="1">
      <c r="A4" s="10" t="s">
        <v>89</v>
      </c>
      <c r="B4" s="35">
        <v>51580</v>
      </c>
    </row>
    <row r="5" spans="1:2" ht="20.5" customHeight="1">
      <c r="A5" s="10" t="s">
        <v>86</v>
      </c>
      <c r="B5" s="35">
        <v>51592</v>
      </c>
    </row>
    <row r="6" spans="1:2" ht="20.5" customHeight="1">
      <c r="A6" s="10" t="s">
        <v>87</v>
      </c>
      <c r="B6" s="35">
        <v>51626</v>
      </c>
    </row>
    <row r="7" spans="1:2" ht="20.5" customHeight="1">
      <c r="A7" s="10" t="s">
        <v>160</v>
      </c>
      <c r="B7" s="35">
        <v>51626</v>
      </c>
    </row>
    <row r="27" spans="5:5">
      <c r="E27" t="s">
        <v>103</v>
      </c>
    </row>
  </sheetData>
  <pageMargins left="0.7" right="0.7" top="0.75" bottom="0.75" header="0.3" footer="0.3"/>
  <pageSetup paperSize="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EA73-6285-40E7-85D8-5D3752B81313}">
  <sheetPr codeName="Sheet10">
    <tabColor rgb="FF002060"/>
  </sheetPr>
  <dimension ref="A1:H7"/>
  <sheetViews>
    <sheetView zoomScaleNormal="100" workbookViewId="0">
      <selection activeCell="B7" sqref="B7"/>
    </sheetView>
  </sheetViews>
  <sheetFormatPr defaultRowHeight="14.5"/>
  <cols>
    <col min="1" max="1" width="50.6328125" customWidth="1"/>
    <col min="2" max="8" width="25.6328125" customWidth="1"/>
  </cols>
  <sheetData>
    <row r="1" spans="1:8" ht="30" customHeight="1">
      <c r="A1" s="86" t="s">
        <v>184</v>
      </c>
      <c r="B1" s="12"/>
      <c r="C1" s="12"/>
      <c r="D1" s="12"/>
      <c r="E1" s="12"/>
      <c r="F1" s="12"/>
      <c r="G1" s="12"/>
      <c r="H1" s="12"/>
    </row>
    <row r="2" spans="1:8" s="67" customFormat="1" ht="20.149999999999999" customHeight="1">
      <c r="A2" s="19" t="s">
        <v>43</v>
      </c>
    </row>
    <row r="3" spans="1:8" ht="62.4" customHeight="1">
      <c r="A3" s="10" t="s">
        <v>72</v>
      </c>
      <c r="B3" s="34" t="s">
        <v>183</v>
      </c>
      <c r="C3" s="22" t="s">
        <v>104</v>
      </c>
      <c r="D3" s="22" t="s">
        <v>105</v>
      </c>
      <c r="E3" s="22" t="s">
        <v>106</v>
      </c>
      <c r="F3" s="22" t="s">
        <v>107</v>
      </c>
      <c r="G3" s="22" t="s">
        <v>108</v>
      </c>
      <c r="H3" s="22" t="s">
        <v>109</v>
      </c>
    </row>
    <row r="4" spans="1:8" ht="20.149999999999999" customHeight="1">
      <c r="A4" s="10" t="s">
        <v>89</v>
      </c>
      <c r="B4" s="96">
        <v>17</v>
      </c>
      <c r="C4" s="36">
        <v>2.2000000000000002</v>
      </c>
      <c r="D4" s="36">
        <v>1</v>
      </c>
      <c r="E4" s="36">
        <v>1</v>
      </c>
      <c r="F4" s="36">
        <v>12.6</v>
      </c>
      <c r="G4" s="36">
        <v>0</v>
      </c>
      <c r="H4" s="36">
        <v>0</v>
      </c>
    </row>
    <row r="5" spans="1:8" ht="20.149999999999999" customHeight="1">
      <c r="A5" s="10" t="s">
        <v>86</v>
      </c>
      <c r="B5" s="96">
        <v>15</v>
      </c>
      <c r="C5" s="36">
        <v>2</v>
      </c>
      <c r="D5" s="36">
        <v>2.2999999999999998</v>
      </c>
      <c r="E5" s="36">
        <v>0</v>
      </c>
      <c r="F5" s="36">
        <v>0</v>
      </c>
      <c r="G5" s="36">
        <v>0</v>
      </c>
      <c r="H5" s="36">
        <v>11</v>
      </c>
    </row>
    <row r="6" spans="1:8" ht="20.5" customHeight="1">
      <c r="A6" s="10" t="s">
        <v>87</v>
      </c>
      <c r="B6" s="96">
        <v>6.7</v>
      </c>
      <c r="C6" s="36">
        <v>2.5</v>
      </c>
      <c r="D6" s="36">
        <v>1.4</v>
      </c>
      <c r="E6" s="36">
        <v>0</v>
      </c>
      <c r="F6" s="36">
        <v>0</v>
      </c>
      <c r="G6" s="36">
        <v>1</v>
      </c>
      <c r="H6" s="36">
        <v>1.8</v>
      </c>
    </row>
    <row r="7" spans="1:8" ht="20.5" customHeight="1">
      <c r="A7" s="10" t="s">
        <v>160</v>
      </c>
      <c r="B7" s="96">
        <v>3.004</v>
      </c>
      <c r="C7" s="36" t="s">
        <v>80</v>
      </c>
      <c r="D7" s="36" t="s">
        <v>80</v>
      </c>
      <c r="E7" s="36" t="s">
        <v>80</v>
      </c>
      <c r="F7" s="36" t="s">
        <v>80</v>
      </c>
      <c r="G7" s="36" t="s">
        <v>80</v>
      </c>
      <c r="H7" s="36" t="s">
        <v>80</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BA22-FBD2-4B21-A2F0-62D3EAF16971}">
  <sheetPr codeName="Sheet11">
    <tabColor rgb="FF002060"/>
  </sheetPr>
  <dimension ref="A1:B7"/>
  <sheetViews>
    <sheetView zoomScaleNormal="100" workbookViewId="0">
      <selection activeCell="B4" sqref="B4"/>
    </sheetView>
  </sheetViews>
  <sheetFormatPr defaultRowHeight="14.5"/>
  <cols>
    <col min="1" max="1" width="50.6328125" customWidth="1"/>
    <col min="2" max="2" width="20.6328125" customWidth="1"/>
    <col min="3" max="3" width="33.36328125" customWidth="1"/>
    <col min="4" max="8" width="20.6328125" customWidth="1"/>
  </cols>
  <sheetData>
    <row r="1" spans="1:2" ht="30" customHeight="1">
      <c r="A1" s="8" t="s">
        <v>185</v>
      </c>
      <c r="B1" s="8"/>
    </row>
    <row r="2" spans="1:2" s="67" customFormat="1" ht="20.149999999999999" customHeight="1">
      <c r="A2" s="19" t="s">
        <v>43</v>
      </c>
    </row>
    <row r="3" spans="1:2" ht="50.25" customHeight="1">
      <c r="A3" s="10" t="s">
        <v>72</v>
      </c>
      <c r="B3" s="22" t="s">
        <v>186</v>
      </c>
    </row>
    <row r="4" spans="1:2" ht="20.25" customHeight="1">
      <c r="A4" s="10" t="s">
        <v>89</v>
      </c>
      <c r="B4" s="99">
        <v>49.2</v>
      </c>
    </row>
    <row r="5" spans="1:2" ht="20.149999999999999" customHeight="1">
      <c r="A5" s="10" t="s">
        <v>86</v>
      </c>
      <c r="B5" s="99">
        <v>60.8</v>
      </c>
    </row>
    <row r="6" spans="1:2" ht="20.5" customHeight="1">
      <c r="A6" s="10" t="s">
        <v>87</v>
      </c>
      <c r="B6" s="99">
        <v>53.6</v>
      </c>
    </row>
    <row r="7" spans="1:2" ht="20.5" customHeight="1">
      <c r="A7" s="10" t="s">
        <v>160</v>
      </c>
      <c r="B7" s="99">
        <v>59.2</v>
      </c>
    </row>
  </sheetData>
  <pageMargins left="0.7" right="0.7" top="0.75" bottom="0.75" header="0.3" footer="0.3"/>
  <pageSetup paperSize="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FB71-90DC-4695-8F1D-3DBE1245761E}">
  <sheetPr codeName="Sheet13">
    <tabColor rgb="FFFFC000"/>
  </sheetPr>
  <dimension ref="A4:T88"/>
  <sheetViews>
    <sheetView showGridLines="0" zoomScaleNormal="100" workbookViewId="0">
      <selection activeCell="B7" sqref="B7"/>
    </sheetView>
  </sheetViews>
  <sheetFormatPr defaultRowHeight="14.5"/>
  <cols>
    <col min="1" max="1" width="7.453125" bestFit="1" customWidth="1"/>
    <col min="2" max="2" width="22.453125" bestFit="1" customWidth="1"/>
    <col min="3" max="3" width="12.26953125" bestFit="1" customWidth="1"/>
    <col min="4" max="4" width="7.453125" bestFit="1" customWidth="1"/>
    <col min="5" max="5" width="22.453125" bestFit="1" customWidth="1"/>
    <col min="6" max="6" width="11.1796875" bestFit="1" customWidth="1"/>
    <col min="7" max="7" width="7.453125" bestFit="1" customWidth="1"/>
    <col min="8" max="8" width="11.1796875" bestFit="1" customWidth="1"/>
    <col min="9" max="9" width="10.6328125" bestFit="1" customWidth="1"/>
    <col min="10" max="10" width="7.453125" bestFit="1" customWidth="1"/>
    <col min="11" max="11" width="9.26953125" bestFit="1" customWidth="1"/>
    <col min="13" max="13" width="7.453125" bestFit="1" customWidth="1"/>
    <col min="14" max="14" width="4.81640625" bestFit="1" customWidth="1"/>
    <col min="15" max="15" width="11.6328125" bestFit="1" customWidth="1"/>
    <col min="16" max="16" width="7.453125" bestFit="1" customWidth="1"/>
    <col min="17" max="17" width="10.1796875" bestFit="1" customWidth="1"/>
    <col min="18" max="18" width="10.1796875" customWidth="1"/>
    <col min="19" max="19" width="7.453125" bestFit="1" customWidth="1"/>
    <col min="20" max="20" width="11.1796875" bestFit="1" customWidth="1"/>
    <col min="21" max="21" width="19.36328125" bestFit="1" customWidth="1"/>
  </cols>
  <sheetData>
    <row r="4" spans="1:20">
      <c r="A4" s="66" t="s">
        <v>110</v>
      </c>
    </row>
    <row r="5" spans="1:20">
      <c r="A5" s="75" t="s">
        <v>111</v>
      </c>
      <c r="B5" t="s">
        <v>112</v>
      </c>
      <c r="D5" s="75" t="s">
        <v>111</v>
      </c>
      <c r="E5" t="s">
        <v>113</v>
      </c>
      <c r="G5" s="75" t="s">
        <v>111</v>
      </c>
      <c r="H5" t="s">
        <v>114</v>
      </c>
      <c r="J5" s="75" t="s">
        <v>111</v>
      </c>
      <c r="K5" t="s">
        <v>115</v>
      </c>
      <c r="M5" s="75" t="s">
        <v>111</v>
      </c>
      <c r="N5" t="s">
        <v>116</v>
      </c>
      <c r="P5" s="75" t="s">
        <v>111</v>
      </c>
      <c r="Q5" t="s">
        <v>117</v>
      </c>
      <c r="S5" s="75" t="s">
        <v>111</v>
      </c>
      <c r="T5" t="s">
        <v>118</v>
      </c>
    </row>
    <row r="6" spans="1:20">
      <c r="A6" s="67" t="s">
        <v>119</v>
      </c>
      <c r="B6" s="87">
        <v>31</v>
      </c>
      <c r="D6" s="67" t="s">
        <v>119</v>
      </c>
      <c r="E6" s="87">
        <v>7</v>
      </c>
      <c r="G6" s="67" t="s">
        <v>119</v>
      </c>
      <c r="H6" s="87">
        <v>2</v>
      </c>
      <c r="J6" s="67" t="s">
        <v>119</v>
      </c>
      <c r="K6" s="87">
        <v>11</v>
      </c>
      <c r="M6" s="67" t="s">
        <v>119</v>
      </c>
      <c r="N6" s="87">
        <v>0</v>
      </c>
      <c r="P6" s="67" t="s">
        <v>119</v>
      </c>
      <c r="Q6">
        <v>8</v>
      </c>
      <c r="S6" s="67" t="s">
        <v>119</v>
      </c>
      <c r="T6">
        <v>3</v>
      </c>
    </row>
    <row r="7" spans="1:20">
      <c r="A7" s="67" t="s">
        <v>120</v>
      </c>
      <c r="B7" s="87">
        <v>31</v>
      </c>
      <c r="D7" s="67" t="s">
        <v>120</v>
      </c>
      <c r="E7" s="87">
        <v>7</v>
      </c>
      <c r="G7" s="67" t="s">
        <v>120</v>
      </c>
      <c r="H7" s="87">
        <v>2</v>
      </c>
      <c r="J7" s="67" t="s">
        <v>120</v>
      </c>
      <c r="K7" s="87">
        <v>11</v>
      </c>
      <c r="M7" s="67" t="s">
        <v>120</v>
      </c>
      <c r="N7" s="87">
        <v>0</v>
      </c>
      <c r="P7" s="67" t="s">
        <v>120</v>
      </c>
      <c r="Q7">
        <v>8</v>
      </c>
      <c r="S7" s="67" t="s">
        <v>120</v>
      </c>
      <c r="T7">
        <v>3</v>
      </c>
    </row>
    <row r="8" spans="1:20">
      <c r="A8" s="67" t="s">
        <v>121</v>
      </c>
      <c r="B8" s="87">
        <v>43</v>
      </c>
      <c r="D8" s="67" t="s">
        <v>121</v>
      </c>
      <c r="E8" s="87">
        <v>10</v>
      </c>
      <c r="G8" s="67" t="s">
        <v>121</v>
      </c>
      <c r="H8" s="87">
        <v>10</v>
      </c>
      <c r="J8" s="67" t="s">
        <v>121</v>
      </c>
      <c r="K8" s="87">
        <v>11</v>
      </c>
      <c r="M8" s="67" t="s">
        <v>121</v>
      </c>
      <c r="N8" s="87">
        <v>0</v>
      </c>
      <c r="P8" s="67" t="s">
        <v>121</v>
      </c>
      <c r="Q8">
        <v>9</v>
      </c>
      <c r="S8" s="67" t="s">
        <v>121</v>
      </c>
      <c r="T8">
        <v>3</v>
      </c>
    </row>
    <row r="9" spans="1:20">
      <c r="A9" s="67" t="s">
        <v>162</v>
      </c>
      <c r="B9" s="87">
        <v>30</v>
      </c>
      <c r="D9" s="67" t="s">
        <v>162</v>
      </c>
      <c r="E9" s="87"/>
      <c r="G9" s="67" t="s">
        <v>162</v>
      </c>
      <c r="H9" s="87"/>
      <c r="J9" s="67" t="s">
        <v>162</v>
      </c>
      <c r="K9" s="87"/>
      <c r="M9" s="67" t="s">
        <v>162</v>
      </c>
      <c r="N9" s="87"/>
      <c r="P9" s="67" t="s">
        <v>162</v>
      </c>
      <c r="S9" s="67" t="s">
        <v>162</v>
      </c>
    </row>
    <row r="23" spans="1:1">
      <c r="A23" s="68" t="str">
        <f>IF(B40="Noise","The number of households within Noise Important Areas where noise has been reduced (KPI).",IF(B40="Biodiversity","Deliver no net loss of biodiversity, measured using an industry standard way of measuring biodiversity changes referred to as the biodiversity metric (KPI).",IF(B40="Air Quality","The number of links in exceedance of the legal nitrogen dioxide (NO2) limits as set by the European Union and accepted by the government (KPI).",IF(B40="National Highways carbon emissions","National Highways carbon emissions (KPI).",IF(B40="Supply chain carbon emissions","The carbon footprint associated with National Highways’ supply chain and also normalised by the volume of work undertaken. (PI).",IF(B40="Condition of Cultural Heritage assets","The overall condition of the culturally significant assets owned by Highways England (PI).",IF(B40="Water quality","The length of watercourse enhanced through the mitigation of medium, high, and very high-risk outfalls as well as through other enhancements such as river retraining/rewilding (PI).",IF(B40="Litter","The percentage of the strategic road network where litter is graded at A or B as defined in the code of practice on litter and refuse 2006 (PI)."))))))))</f>
        <v>The number of links in exceedance of the legal nitrogen dioxide (NO2) limits as set by the European Union and accepted by the government (KPI).</v>
      </c>
    </row>
    <row r="24" spans="1:1">
      <c r="A24" s="68" t="str">
        <f>IF(B40="Noise","National-level target for road period 2: 7,500 households benefitting from noise reduction in mitigated Noise Important Areas.",IF(B40="Biodiversity","National-level target for road period 2: Achieve no net loss of biodiversity, across all National Highways activities, by the end of road period 2.",IF(B40="Air Quality","National-level target for road period 2: Bring links based on the Pollution Climate Mapping model into compliance with legal nitrogen (NO2) limits in the shortest timescales possible.",IF(B40="National Highways carbon emissions","National-level target: Reduce National Highways's carbon emission as a result of electricity consumption, fuel use and other day-to-day operational activities by 75% at the end of RP2, compared to 2017-18.",""))))</f>
        <v>National-level target for road period 2: Bring links based on the Pollution Climate Mapping model into compliance with legal nitrogen (NO2) limits in the shortest timescales possible.</v>
      </c>
    </row>
    <row r="25" spans="1:1">
      <c r="A25" s="68" t="str">
        <f>IF(B40="Noise","Measure: Number. ***Change in traffic demand and methodology.",IF(B40="Biodiversity","Measure: Biodiversity units.",IF(B40="Air Quality","Measure: The number of links in exceedance of the legal nitrogen dioxide (NO2) limits.",IF(B40="National Highways carbon emissions","Measure: Tonnes of CO2e.",IF(B40="Supply chain carbon emissions","Measure: Absolute tonnes CO2e. ***Excludes DBFO contracts.",IF(B40="Condition of Cultural Heritage assets","Measure: Numeric score. The larger the figure, the better overall condition of the culturally significant assets.",IF(B40="Water quality","Measure: Kilometres of watercourse enhanced",IF(B40="Litter","Measure: Percentage. The cleanliness of the SRN in accordance with the Code of practice on litter and refuse. "))))))))</f>
        <v>Measure: The number of links in exceedance of the legal nitrogen dioxide (NO2) limits.</v>
      </c>
    </row>
    <row r="26" spans="1:1">
      <c r="A26" s="68" t="str">
        <f>IF(B40="Litter","percentage points","")</f>
        <v/>
      </c>
    </row>
    <row r="39" spans="1:8">
      <c r="B39" t="s">
        <v>122</v>
      </c>
      <c r="C39" t="s">
        <v>123</v>
      </c>
      <c r="D39" t="s">
        <v>124</v>
      </c>
      <c r="E39" t="s">
        <v>125</v>
      </c>
      <c r="F39" t="s">
        <v>126</v>
      </c>
      <c r="G39" t="s">
        <v>127</v>
      </c>
      <c r="H39" t="s">
        <v>128</v>
      </c>
    </row>
    <row r="40" spans="1:8">
      <c r="A40" s="75" t="s">
        <v>129</v>
      </c>
      <c r="B40" t="s">
        <v>130</v>
      </c>
    </row>
    <row r="42" spans="1:8">
      <c r="A42" s="75" t="s">
        <v>111</v>
      </c>
      <c r="B42" t="s">
        <v>113</v>
      </c>
      <c r="C42" t="s">
        <v>131</v>
      </c>
      <c r="D42" t="s">
        <v>132</v>
      </c>
      <c r="E42" t="s">
        <v>133</v>
      </c>
      <c r="F42" t="s">
        <v>134</v>
      </c>
      <c r="G42" t="s">
        <v>135</v>
      </c>
      <c r="H42" t="s">
        <v>112</v>
      </c>
    </row>
    <row r="43" spans="1:8">
      <c r="A43" s="67" t="s">
        <v>119</v>
      </c>
      <c r="B43">
        <v>7</v>
      </c>
      <c r="C43">
        <v>2</v>
      </c>
      <c r="D43">
        <v>11</v>
      </c>
      <c r="E43">
        <v>0</v>
      </c>
      <c r="F43">
        <v>8</v>
      </c>
      <c r="G43">
        <v>3</v>
      </c>
      <c r="H43">
        <v>31</v>
      </c>
    </row>
    <row r="44" spans="1:8">
      <c r="A44" s="67" t="s">
        <v>120</v>
      </c>
      <c r="B44">
        <v>7</v>
      </c>
      <c r="C44">
        <v>2</v>
      </c>
      <c r="D44">
        <v>11</v>
      </c>
      <c r="E44">
        <v>0</v>
      </c>
      <c r="F44">
        <v>8</v>
      </c>
      <c r="G44">
        <v>3</v>
      </c>
      <c r="H44">
        <v>31</v>
      </c>
    </row>
    <row r="45" spans="1:8">
      <c r="A45" s="67" t="s">
        <v>121</v>
      </c>
      <c r="B45">
        <v>10</v>
      </c>
      <c r="C45">
        <v>10</v>
      </c>
      <c r="D45">
        <v>11</v>
      </c>
      <c r="E45">
        <v>0</v>
      </c>
      <c r="F45">
        <v>9</v>
      </c>
      <c r="G45">
        <v>3</v>
      </c>
      <c r="H45">
        <v>43</v>
      </c>
    </row>
    <row r="46" spans="1:8">
      <c r="A46" s="67" t="s">
        <v>162</v>
      </c>
      <c r="H46">
        <v>30</v>
      </c>
    </row>
    <row r="59" spans="1:13" ht="15" thickBot="1">
      <c r="A59" s="69" t="str">
        <f>INDEX(A43:A58,MATCH("*",A43:A58,-1))</f>
        <v>2023-24</v>
      </c>
      <c r="B59" s="70">
        <f>VLOOKUP(A59,$A$43:$H$58,2)</f>
        <v>0</v>
      </c>
      <c r="C59" s="70">
        <f>VLOOKUP(A59,$A$43:$H$58,3)</f>
        <v>0</v>
      </c>
      <c r="D59" s="70">
        <f>VLOOKUP(A59,$A$43:$H$58,4)</f>
        <v>0</v>
      </c>
      <c r="E59" s="70">
        <f>VLOOKUP(A59,$A$43:$H$58,5)</f>
        <v>0</v>
      </c>
      <c r="F59" s="70">
        <f>VLOOKUP(A59,$A$43:$H$58,6)</f>
        <v>0</v>
      </c>
      <c r="G59" s="70">
        <f>VLOOKUP(A59,$A$43:$H$58,7)</f>
        <v>0</v>
      </c>
      <c r="H59" s="71">
        <f>VLOOKUP(A59,$A$43:$H$58,8)</f>
        <v>30</v>
      </c>
      <c r="I59" s="83" t="s">
        <v>136</v>
      </c>
    </row>
    <row r="61" spans="1:13">
      <c r="E61" t="s">
        <v>137</v>
      </c>
    </row>
    <row r="62" spans="1:13">
      <c r="A62" t="s">
        <v>138</v>
      </c>
      <c r="B62" s="72" t="str">
        <f>IFERROR(IF(MAX(B59:G59)=0,"",MAX(B59:G59)),"")</f>
        <v/>
      </c>
      <c r="E62" s="73" t="e">
        <f>(B62/$H$59)</f>
        <v>#VALUE!</v>
      </c>
      <c r="F62" t="s">
        <v>139</v>
      </c>
      <c r="H62" t="s">
        <v>140</v>
      </c>
      <c r="I62" s="73" t="e">
        <f>ABS(E62)</f>
        <v>#VALUE!</v>
      </c>
      <c r="K62" t="e">
        <f>TEXT(I62,"0.00")&amp;" "&amp;A26</f>
        <v>#VALUE!</v>
      </c>
    </row>
    <row r="63" spans="1:13">
      <c r="A63" t="s">
        <v>141</v>
      </c>
      <c r="B63" s="72" t="str">
        <f>IFERROR(IF(B62="","",MIN(B59:G59)),"")</f>
        <v/>
      </c>
      <c r="E63" s="73" t="e">
        <f>(B63/$H$59)</f>
        <v>#VALUE!</v>
      </c>
      <c r="F63" t="e">
        <f>IF(E63&gt;=0," performed better by","performed worse by")</f>
        <v>#VALUE!</v>
      </c>
      <c r="H63" s="74" t="s">
        <v>140</v>
      </c>
      <c r="I63" s="73" t="e">
        <f>ABS(E63)</f>
        <v>#VALUE!</v>
      </c>
      <c r="K63" t="e">
        <f>TEXT(I63,"0.00")&amp;" "&amp;A26</f>
        <v>#VALUE!</v>
      </c>
    </row>
    <row r="64" spans="1:13">
      <c r="C64" s="72"/>
      <c r="E64" t="s">
        <v>142</v>
      </c>
      <c r="M64" s="74"/>
    </row>
    <row r="65" spans="1:13">
      <c r="A65" t="s">
        <v>138</v>
      </c>
      <c r="B65" t="str" cm="1">
        <f t="array" ref="B65">IFERROR(IF(B62,INDEX($B$39:$G$39,SUMPRODUCT(MAX(($B$42:$G$58=B62)*(COLUMN($B$42:$G$58))))-COLUMN($B$42)+1),""),"")</f>
        <v/>
      </c>
      <c r="E65" s="72" t="e">
        <f>B62-$H$59</f>
        <v>#VALUE!</v>
      </c>
      <c r="F65" t="e">
        <f>IF(E65&gt;0," was higher by "," was lower by ")</f>
        <v>#VALUE!</v>
      </c>
      <c r="H65" t="s">
        <v>140</v>
      </c>
      <c r="I65" s="73" t="e">
        <f>ABS(E65)</f>
        <v>#VALUE!</v>
      </c>
      <c r="M65" s="74"/>
    </row>
    <row r="66" spans="1:13">
      <c r="A66" t="s">
        <v>141</v>
      </c>
      <c r="B66" s="94" t="str">
        <f>IFERROR(INDEX(B39:G39,MATCH(B63,B59:G59,0))," ")</f>
        <v xml:space="preserve"> </v>
      </c>
      <c r="E66" s="72" t="e">
        <f>B63-$H$59</f>
        <v>#VALUE!</v>
      </c>
      <c r="F66" t="e">
        <f>IF(E66&gt;0," was higher by "," was lower by ")</f>
        <v>#VALUE!</v>
      </c>
      <c r="H66" s="74" t="s">
        <v>140</v>
      </c>
      <c r="I66" s="73" t="e">
        <f>ABS(E66)</f>
        <v>#VALUE!</v>
      </c>
    </row>
    <row r="68" spans="1:13">
      <c r="A68" t="s">
        <v>143</v>
      </c>
      <c r="B68" t="str">
        <f>IF(B40="Air Quality",B66,IF(B40="Water quality","N/A",IF(B40="Noise",B65,IF(B40="Supply chain carbon emissions",B66,B65))))</f>
        <v xml:space="preserve"> </v>
      </c>
    </row>
    <row r="69" spans="1:13">
      <c r="A69" t="s">
        <v>144</v>
      </c>
      <c r="B69" t="str">
        <f>IF(B40="Air Quality",B65,IF(B40="Water Quality","N/A",IF(B40="Noise",B66,IF(B40="Supply chain carbon emissions",B65,B66))))</f>
        <v/>
      </c>
    </row>
    <row r="71" spans="1:13">
      <c r="A71" s="94" t="str">
        <f>IFERROR(IF(B40="Water Quality",A76,IF(B40="Supply chain carbon emissions",A77,IF(B40="Noise",A74,IF(AND(B40="Noise",B63=0),A75,IF(AND(B63&gt;0,B40="Air Quality"),A72,IF(AND(B40="Air Quality",B63=0),A73,"Note: data only available at a national level.")))))),"Note: data only available at a national level.")</f>
        <v>Note: data only available at a national level.</v>
      </c>
    </row>
    <row r="72" spans="1:13" s="88" customFormat="1">
      <c r="A72" s="94" t="e">
        <f>IF(B40="Air Quality","The "&amp;B69&amp;F62&amp;TEXT(B62,"0"&amp;" ")&amp;"of all legal nitrogen dioxide limit exceeded across all regions, while the "&amp;B68&amp;" region accounts for "&amp;TEXT(K63,"0.0%"&amp;" "),"Note: data only available at a national level.")</f>
        <v>#VALUE!</v>
      </c>
    </row>
    <row r="73" spans="1:13" s="88" customFormat="1">
      <c r="A73" s="94" t="str">
        <f>IF(AND(B63=0,B40="Air Quality"),"The "&amp;B69&amp;F62&amp;TEXT(B62,"0"&amp;" ")&amp;"of the links in exceedance of legal NO2 limits. In the "&amp;B68&amp;", there were no links in exceedance.","Note: data only available at a national level.")</f>
        <v>Note: data only available at a national level.</v>
      </c>
    </row>
    <row r="74" spans="1:13">
      <c r="A74" s="94" t="str">
        <f>IF(B40="Noise","The "&amp;B65&amp;""&amp;F62&amp;TEXT(K62,"0.0%"&amp;" ")&amp;"of all households within Noise Important Areas where noise has been reduced across all regions, while the "&amp;B66&amp;" region accounts for "&amp;TEXT(K63,"0.0%"&amp;" ."),"Note: data only available at a national level.")</f>
        <v>Note: data only available at a national level.</v>
      </c>
    </row>
    <row r="75" spans="1:13">
      <c r="A75" s="94" t="str">
        <f>IF(AND(E59=0,G59=0,B63=0,B40="Noise"),"In the "&amp;B65&amp;","&amp;B62&amp;" households benefited from noise mitigation. No mitigation was delivered in the Midlands, East and South West.","Note: data only available at a national level.")</f>
        <v>Note: data only available at a national level.</v>
      </c>
    </row>
    <row r="76" spans="1:13">
      <c r="A76" t="str">
        <f>IF(B40="Water Quality","In the "&amp;B65&amp;", "&amp;B62&amp;"km of watercourse was enhanced. No enhacement was delivered in the Midlands, East and South East.","Note: data only available at a national level.")</f>
        <v>Note: data only available at a national level.</v>
      </c>
    </row>
    <row r="77" spans="1:13">
      <c r="A77" t="str">
        <f>IF(B40="Supply chain carbon emissions","The "&amp;B68&amp;F62&amp;TEXT(K63,"0.0%"&amp;" ")&amp;"of absolute tonnes CO2e, while the "&amp;B69&amp;" region accounts for "&amp;TEXT(K62,"0.0%"&amp;"."),"Note: data only available at a national level.")</f>
        <v>Note: data only available at a national level.</v>
      </c>
    </row>
    <row r="79" spans="1:13" ht="16.5">
      <c r="A79" s="93" t="str">
        <f>IFERROR("Compared to National Highways,"&amp;" "&amp;"the"&amp;B67&amp;""&amp;""&amp;F61&amp;" "&amp;TEXT(K61,"0.0%"&amp;" ")&amp;" while"&amp;""&amp;B68&amp;""&amp;" "&amp;F62&amp;" "&amp;TEXT(K62,"0.0%")&amp;" .","Note: data only available at a national level.")</f>
        <v>Note: data only available at a national level.</v>
      </c>
    </row>
    <row r="83" spans="1:8">
      <c r="A83" s="115" t="e">
        <f>A72</f>
        <v>#VALUE!</v>
      </c>
      <c r="B83" s="115"/>
      <c r="C83" s="115"/>
      <c r="D83" s="115"/>
      <c r="E83" s="115"/>
      <c r="F83" s="115"/>
    </row>
    <row r="84" spans="1:8">
      <c r="A84" s="115"/>
      <c r="B84" s="115"/>
      <c r="C84" s="115"/>
      <c r="D84" s="115"/>
      <c r="E84" s="115"/>
      <c r="F84" s="115"/>
    </row>
    <row r="87" spans="1:8" ht="15" customHeight="1">
      <c r="A87" s="116" t="e">
        <f>"The"&amp;B69&amp;" "&amp;F62&amp;TEXT(K62,"0.0%"&amp;" ")</f>
        <v>#VALUE!</v>
      </c>
      <c r="B87" s="116"/>
      <c r="C87" s="116"/>
      <c r="D87" s="116"/>
      <c r="E87" s="116"/>
      <c r="F87" s="116"/>
      <c r="G87" s="116"/>
      <c r="H87" s="116"/>
    </row>
    <row r="88" spans="1:8">
      <c r="A88" s="116"/>
      <c r="B88" s="116"/>
      <c r="C88" s="116"/>
      <c r="D88" s="116"/>
      <c r="E88" s="116"/>
      <c r="F88" s="116"/>
      <c r="G88" s="116"/>
      <c r="H88" s="116"/>
    </row>
  </sheetData>
  <mergeCells count="2">
    <mergeCell ref="A83:F84"/>
    <mergeCell ref="A87:H88"/>
  </mergeCells>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B1DB-7E4A-4E75-A70B-6A34C00141C9}">
  <sheetPr codeName="Sheet12">
    <tabColor rgb="FFFFC000"/>
  </sheetPr>
  <dimension ref="A2:K44"/>
  <sheetViews>
    <sheetView topLeftCell="A8" zoomScaleNormal="100" workbookViewId="0">
      <selection activeCell="E41" sqref="E41:E44"/>
    </sheetView>
  </sheetViews>
  <sheetFormatPr defaultRowHeight="14.5"/>
  <cols>
    <col min="1" max="1" width="22" bestFit="1" customWidth="1"/>
    <col min="2" max="2" width="32" bestFit="1" customWidth="1"/>
    <col min="4" max="4" width="31.1796875" customWidth="1"/>
    <col min="5" max="5" width="17" customWidth="1"/>
    <col min="6" max="6" width="22" customWidth="1"/>
  </cols>
  <sheetData>
    <row r="2" spans="1:11" s="76" customFormat="1" ht="39">
      <c r="A2" s="76" t="s">
        <v>145</v>
      </c>
      <c r="B2" s="76" t="s">
        <v>146</v>
      </c>
      <c r="C2" s="77" t="s">
        <v>111</v>
      </c>
      <c r="D2" s="78" t="s">
        <v>129</v>
      </c>
      <c r="E2" s="79" t="s">
        <v>128</v>
      </c>
      <c r="F2" s="80" t="s">
        <v>147</v>
      </c>
      <c r="G2" s="80" t="s">
        <v>148</v>
      </c>
      <c r="H2" s="80" t="s">
        <v>149</v>
      </c>
      <c r="I2" s="80" t="s">
        <v>150</v>
      </c>
      <c r="J2" s="80" t="s">
        <v>151</v>
      </c>
      <c r="K2" s="81" t="s">
        <v>152</v>
      </c>
    </row>
    <row r="3" spans="1:11">
      <c r="A3" t="str">
        <f>LEFT(Table_4a!$A$1,8)</f>
        <v>Table 4a</v>
      </c>
      <c r="B3" t="str">
        <f>Table_4a!A7</f>
        <v>April 2015 to March 2016</v>
      </c>
      <c r="C3" t="str">
        <f>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f>
        <v>2015-16</v>
      </c>
      <c r="D3" t="s">
        <v>153</v>
      </c>
      <c r="E3" s="85">
        <f>VLOOKUP($B3,Table_4a[#All],COLUMN(E$1)-3,FALSE)</f>
        <v>62</v>
      </c>
      <c r="F3" s="82"/>
      <c r="G3" s="82"/>
      <c r="H3" s="82"/>
      <c r="I3" s="82"/>
      <c r="J3" s="82"/>
      <c r="K3" s="82"/>
    </row>
    <row r="4" spans="1:11">
      <c r="A4" t="str">
        <f>LEFT(Table_4a!$A$1,8)</f>
        <v>Table 4a</v>
      </c>
      <c r="B4" t="str">
        <f>Table_4a!A8</f>
        <v>April 2016 to March 2017</v>
      </c>
      <c r="C4" t="str">
        <f t="shared" ref="C4:C44" si="0">IF(ISNUMBER(SEARCH("2015",B4)),"2015-16",IF(ISNUMBER(SEARCH("2016",B4)),"2016-17",IF(ISNUMBER(SEARCH("2017",B4)),"2017-18",IF(ISNUMBER(SEARCH("2018",B4)),"2018-19",IF(ISNUMBER(SEARCH("2019",B4)),"2019-20",IF(ISNUMBER(SEARCH("2020",B4)),"2020-21",IF(ISNUMBER(SEARCH("2021",B4)),"2021-22",IF(ISNUMBER(SEARCH("2022",B4)),"2022-23",IF(ISNUMBER(SEARCH("2023",B4)),"2023-24",IF(ISNUMBER(SEARCH("2024",B4)),"2024-25",IF(ISNUMBER(SEARCH("2025",B4)),"2025-26","")))))))))))</f>
        <v>2016-17</v>
      </c>
      <c r="D4" t="s">
        <v>153</v>
      </c>
      <c r="E4" s="85">
        <f>VLOOKUP($B4,Table_4a[#All],COLUMN(E$1)-3,FALSE)</f>
        <v>141</v>
      </c>
      <c r="F4" s="82"/>
      <c r="G4" s="82"/>
      <c r="H4" s="82"/>
      <c r="I4" s="82"/>
      <c r="J4" s="82"/>
      <c r="K4" s="82"/>
    </row>
    <row r="5" spans="1:11">
      <c r="A5" t="str">
        <f>LEFT(Table_4a!$A$1,8)</f>
        <v>Table 4a</v>
      </c>
      <c r="B5" t="str">
        <f>Table_4a!A9</f>
        <v>April 2017 to March 2018</v>
      </c>
      <c r="C5" t="str">
        <f t="shared" si="0"/>
        <v>2017-18</v>
      </c>
      <c r="D5" t="s">
        <v>153</v>
      </c>
      <c r="E5" s="85">
        <f>VLOOKUP($B5,Table_4a[#All],COLUMN(E$1)-3,FALSE)</f>
        <v>448</v>
      </c>
      <c r="F5" s="82"/>
      <c r="G5" s="82"/>
      <c r="H5" s="82"/>
      <c r="I5" s="82"/>
      <c r="J5" s="82"/>
      <c r="K5" s="82"/>
    </row>
    <row r="6" spans="1:11">
      <c r="A6" t="str">
        <f>LEFT(Table_4a!$A$1,8)</f>
        <v>Table 4a</v>
      </c>
      <c r="B6" t="str">
        <f>Table_4a!A10</f>
        <v>April 2018 to March 2019</v>
      </c>
      <c r="C6" t="str">
        <f t="shared" si="0"/>
        <v>2018-19</v>
      </c>
      <c r="D6" t="s">
        <v>153</v>
      </c>
      <c r="E6" s="85">
        <f>VLOOKUP($B6,Table_4a[#All],COLUMN(E$1)-3,FALSE)</f>
        <v>300</v>
      </c>
      <c r="F6" s="82"/>
      <c r="G6" s="82"/>
      <c r="H6" s="82"/>
      <c r="I6" s="82"/>
      <c r="J6" s="82"/>
      <c r="K6" s="82"/>
    </row>
    <row r="7" spans="1:11">
      <c r="A7" t="str">
        <f>LEFT(Table_4a!$A$1,8)</f>
        <v>Table 4a</v>
      </c>
      <c r="B7" t="str">
        <f>Table_4a!A11</f>
        <v>April 2019 to March 2020</v>
      </c>
      <c r="C7" t="str">
        <f t="shared" si="0"/>
        <v>2019-20</v>
      </c>
      <c r="D7" t="s">
        <v>153</v>
      </c>
      <c r="E7" s="85">
        <f>VLOOKUP($B7,Table_4a[#All],COLUMN(E$1)-3,FALSE)</f>
        <v>223</v>
      </c>
      <c r="F7" s="82"/>
      <c r="G7" s="82"/>
      <c r="H7" s="82"/>
      <c r="I7" s="82"/>
      <c r="J7" s="82"/>
      <c r="K7" s="82"/>
    </row>
    <row r="8" spans="1:11">
      <c r="A8" t="str">
        <f>LEFT(Table_4a!$A$1,8)</f>
        <v>Table 4a</v>
      </c>
      <c r="B8" t="str">
        <f>Table_4a!A12</f>
        <v>April 2020 to March 2021 [b]</v>
      </c>
      <c r="C8" t="str">
        <f t="shared" si="0"/>
        <v>2020-21</v>
      </c>
      <c r="D8" t="s">
        <v>153</v>
      </c>
      <c r="E8" s="85">
        <f>VLOOKUP($B8,Table_4a[#All],COLUMN(E$1)-3,FALSE)</f>
        <v>2111</v>
      </c>
      <c r="F8" s="85">
        <v>0</v>
      </c>
      <c r="G8" s="85">
        <v>1528</v>
      </c>
      <c r="H8" s="85">
        <v>25</v>
      </c>
      <c r="I8" s="85">
        <v>2</v>
      </c>
      <c r="J8" s="85">
        <v>224</v>
      </c>
      <c r="K8" s="85">
        <v>332</v>
      </c>
    </row>
    <row r="9" spans="1:11">
      <c r="A9" t="str">
        <f>LEFT(Table_4a!$A$1,8)</f>
        <v>Table 4a</v>
      </c>
      <c r="B9" t="str">
        <f>Table_4a!A13</f>
        <v>April 2021 to March 2022</v>
      </c>
      <c r="C9" t="str">
        <f t="shared" si="0"/>
        <v>2021-22</v>
      </c>
      <c r="D9" t="s">
        <v>153</v>
      </c>
      <c r="E9" s="85">
        <f>VLOOKUP($B9,Table_4a[#All],COLUMN(E$1)-3,FALSE)</f>
        <v>1067</v>
      </c>
      <c r="F9" s="85">
        <v>311</v>
      </c>
      <c r="G9" s="85">
        <v>1</v>
      </c>
      <c r="H9" s="85">
        <v>0</v>
      </c>
      <c r="I9" s="85">
        <v>0</v>
      </c>
      <c r="J9" s="85">
        <v>755</v>
      </c>
      <c r="K9" s="85">
        <v>0</v>
      </c>
    </row>
    <row r="10" spans="1:11">
      <c r="A10" t="str">
        <f>LEFT(Table_4a!$A$1,8)</f>
        <v>Table 4a</v>
      </c>
      <c r="B10" t="str">
        <f>Table_4a!A14</f>
        <v>April 2022 to March 2023</v>
      </c>
      <c r="C10" t="str">
        <f t="shared" si="0"/>
        <v>2022-23</v>
      </c>
      <c r="D10" t="s">
        <v>153</v>
      </c>
      <c r="E10" s="85">
        <v>1029</v>
      </c>
      <c r="F10" s="85">
        <v>126</v>
      </c>
      <c r="G10" s="85">
        <v>442</v>
      </c>
      <c r="H10" s="85">
        <v>46</v>
      </c>
      <c r="I10" s="85">
        <v>0</v>
      </c>
      <c r="J10" s="85">
        <v>363</v>
      </c>
      <c r="K10" s="85">
        <v>8</v>
      </c>
    </row>
    <row r="11" spans="1:11">
      <c r="A11" t="str">
        <f>LEFT(Table_4a!$A$1,8)</f>
        <v>Table 4a</v>
      </c>
      <c r="B11" t="str">
        <f>Table_4a!A15</f>
        <v>April 2023 to March 2024</v>
      </c>
      <c r="C11" t="str">
        <f>IF(ISNUMBER(SEARCH("2015",B11)),"2015-16",IF(ISNUMBER(SEARCH("2016",B11)),"2016-17",IF(ISNUMBER(SEARCH("2017",B11)),"2017-18",IF(ISNUMBER(SEARCH("2018",B11)),"2018-19",IF(ISNUMBER(SEARCH("2019",B11)),"2019-20",IF(ISNUMBER(SEARCH("2020",B11)),"2020-21",IF(ISNUMBER(SEARCH("2021",B11)),"2021-22",IF(ISNUMBER(SEARCH("2022",B11)),"2022-23",IF(ISNUMBER(SEARCH("2023",B11)),"2023-24",IF(ISNUMBER(SEARCH("2024",B11)),"2024-25",IF(ISNUMBER(SEARCH("2025",B11)),"2025-26","")))))))))))</f>
        <v>2023-24</v>
      </c>
      <c r="D11" t="s">
        <v>153</v>
      </c>
      <c r="E11" s="85">
        <v>990</v>
      </c>
      <c r="F11" s="85"/>
      <c r="G11" s="85"/>
      <c r="H11" s="85"/>
      <c r="I11" s="85"/>
      <c r="J11" s="85"/>
      <c r="K11" s="85"/>
    </row>
    <row r="12" spans="1:11">
      <c r="A12" t="str">
        <f>LEFT(Table_4b!$A$1,8)</f>
        <v>Table 4b</v>
      </c>
      <c r="B12" t="str">
        <f>Table_4b!A5</f>
        <v xml:space="preserve">April 2020 to March 2021 </v>
      </c>
      <c r="C12" t="str">
        <f t="shared" si="0"/>
        <v>2020-21</v>
      </c>
      <c r="D12" t="s">
        <v>154</v>
      </c>
      <c r="E12" s="85">
        <f>VLOOKUP($B12,Table_4b[#All],COLUMN(E$1)-3,FALSE)</f>
        <v>147</v>
      </c>
      <c r="F12" s="82"/>
      <c r="G12" s="82"/>
      <c r="H12" s="82"/>
      <c r="I12" s="82"/>
      <c r="J12" s="82"/>
      <c r="K12" s="82"/>
    </row>
    <row r="13" spans="1:11">
      <c r="A13" t="str">
        <f>LEFT(Table_4b!$A$1,8)</f>
        <v>Table 4b</v>
      </c>
      <c r="B13" t="str">
        <f>Table_4b!A6</f>
        <v>April 2021 to March 2022</v>
      </c>
      <c r="C13" t="str">
        <f t="shared" si="0"/>
        <v>2021-22</v>
      </c>
      <c r="D13" t="s">
        <v>154</v>
      </c>
      <c r="E13" s="85">
        <f>VLOOKUP($B13,Table_4b[#All],COLUMN(E$1)-3,FALSE)</f>
        <v>364</v>
      </c>
      <c r="F13" s="82"/>
      <c r="G13" s="82"/>
      <c r="H13" s="82"/>
      <c r="I13" s="82"/>
      <c r="J13" s="82"/>
      <c r="K13" s="82"/>
    </row>
    <row r="14" spans="1:11">
      <c r="A14" t="str">
        <f>LEFT(Table_4b!$A$1,8)</f>
        <v>Table 4b</v>
      </c>
      <c r="B14" t="str">
        <f>Table_4b!A7</f>
        <v>April 2022 to March 2023</v>
      </c>
      <c r="C14" t="str">
        <f t="shared" si="0"/>
        <v>2022-23</v>
      </c>
      <c r="D14" t="s">
        <v>154</v>
      </c>
      <c r="E14" s="85">
        <f>VLOOKUP($B14,Table_4b[#All],COLUMN(E$1)-3,FALSE)</f>
        <v>1622</v>
      </c>
      <c r="F14" s="82"/>
      <c r="G14" s="82"/>
      <c r="H14" s="82"/>
      <c r="I14" s="82"/>
      <c r="J14" s="82"/>
      <c r="K14" s="82"/>
    </row>
    <row r="15" spans="1:11">
      <c r="B15" t="str">
        <f>Table_4b!A8</f>
        <v>April 2023 to March 2024</v>
      </c>
      <c r="C15" t="str">
        <f>IF(ISNUMBER(SEARCH("2015",B15)),"2015-16",IF(ISNUMBER(SEARCH("2016",B15)),"2016-17",IF(ISNUMBER(SEARCH("2017",B15)),"2017-18",IF(ISNUMBER(SEARCH("2018",B15)),"2018-19",IF(ISNUMBER(SEARCH("2019",B15)),"2019-20",IF(ISNUMBER(SEARCH("2020",B15)),"2020-21",IF(ISNUMBER(SEARCH("2021",B15)),"2021-22",IF(ISNUMBER(SEARCH("2022",B15)),"2022-23",IF(ISNUMBER(SEARCH("2023",B15)),"2023-24",IF(ISNUMBER(SEARCH("2024",B15)),"2024-25",IF(ISNUMBER(SEARCH("2025",B15)),"2025-26","")))))))))))</f>
        <v>2023-24</v>
      </c>
      <c r="D15" t="s">
        <v>154</v>
      </c>
      <c r="E15" s="85">
        <f>VLOOKUP($B15,Table_4b[#All],COLUMN(E$1)-3,FALSE)</f>
        <v>2389</v>
      </c>
      <c r="F15" s="82"/>
      <c r="G15" s="82"/>
      <c r="H15" s="82"/>
      <c r="I15" s="82"/>
      <c r="J15" s="82"/>
      <c r="K15" s="82"/>
    </row>
    <row r="16" spans="1:11">
      <c r="A16" t="str">
        <f>LEFT(Table_4c!$A$1,8)</f>
        <v>Table 4c</v>
      </c>
      <c r="B16" t="str">
        <f>Table_4c!A5</f>
        <v xml:space="preserve">April 2020 to March 2021 </v>
      </c>
      <c r="C16" t="str">
        <f t="shared" si="0"/>
        <v>2020-21</v>
      </c>
      <c r="D16" t="s">
        <v>130</v>
      </c>
      <c r="E16" s="85">
        <f>VLOOKUP($B16,Table_4c[#All],COLUMN(E$1)-3,FALSE)</f>
        <v>31</v>
      </c>
      <c r="F16" s="82">
        <f>VLOOKUP($B16,Table_4c[#All],COLUMN(F$1)-3,FALSE)</f>
        <v>7</v>
      </c>
      <c r="G16" s="82">
        <f>VLOOKUP($B16,Table_4c[#All],COLUMN(G$1)-3,FALSE)</f>
        <v>2</v>
      </c>
      <c r="H16" s="82">
        <f>VLOOKUP($B16,Table_4c[#All],COLUMN(H$1)-3,FALSE)</f>
        <v>11</v>
      </c>
      <c r="I16" s="82">
        <f>VLOOKUP($B16,Table_4c[#All],COLUMN(I$1)-3,FALSE)</f>
        <v>0</v>
      </c>
      <c r="J16" s="82">
        <f>VLOOKUP($B16,Table_4c[#All],COLUMN(J$1)-3,FALSE)</f>
        <v>8</v>
      </c>
      <c r="K16" s="82">
        <f>VLOOKUP($B16,Table_4c[#All],COLUMN(K$1)-3,FALSE)</f>
        <v>3</v>
      </c>
    </row>
    <row r="17" spans="1:11">
      <c r="A17" t="str">
        <f>LEFT(Table_4c!$A$1,8)</f>
        <v>Table 4c</v>
      </c>
      <c r="B17" t="str">
        <f>Table_4c!A6</f>
        <v>April 2021 to March 2022</v>
      </c>
      <c r="C17" t="str">
        <f t="shared" si="0"/>
        <v>2021-22</v>
      </c>
      <c r="D17" t="s">
        <v>130</v>
      </c>
      <c r="E17" s="85">
        <f>VLOOKUP($B17,Table_4c[#All],COLUMN(E$1)-3,FALSE)</f>
        <v>31</v>
      </c>
      <c r="F17" s="82">
        <f>VLOOKUP($B17,Table_4c[#All],COLUMN(F$1)-3,FALSE)</f>
        <v>7</v>
      </c>
      <c r="G17" s="82">
        <f>VLOOKUP($B17,Table_4c[#All],COLUMN(G$1)-3,FALSE)</f>
        <v>2</v>
      </c>
      <c r="H17" s="82">
        <f>VLOOKUP($B17,Table_4c[#All],COLUMN(H$1)-3,FALSE)</f>
        <v>11</v>
      </c>
      <c r="I17" s="82">
        <f>VLOOKUP($B17,Table_4c[#All],COLUMN(I$1)-3,FALSE)</f>
        <v>0</v>
      </c>
      <c r="J17" s="82">
        <f>VLOOKUP($B17,Table_4c[#All],COLUMN(J$1)-3,FALSE)</f>
        <v>8</v>
      </c>
      <c r="K17" s="82">
        <f>VLOOKUP($B17,Table_4c[#All],COLUMN(K$1)-3,FALSE)</f>
        <v>3</v>
      </c>
    </row>
    <row r="18" spans="1:11">
      <c r="A18" t="str">
        <f>LEFT(Table_4c!$A$1,8)</f>
        <v>Table 4c</v>
      </c>
      <c r="B18" t="str">
        <f>Table_4c!A7</f>
        <v>April 2022 to March 2023</v>
      </c>
      <c r="C18" t="str">
        <f t="shared" si="0"/>
        <v>2022-23</v>
      </c>
      <c r="D18" t="s">
        <v>130</v>
      </c>
      <c r="E18" s="85">
        <f>VLOOKUP($B18,Table_4c[#All],COLUMN(E$1)-3,FALSE)</f>
        <v>43</v>
      </c>
      <c r="F18" s="82">
        <f>VLOOKUP($B18,Table_4c[#All],COLUMN(F$1)-3,FALSE)</f>
        <v>10</v>
      </c>
      <c r="G18" s="82">
        <f>VLOOKUP($B18,Table_4c[#All],COLUMN(G$1)-3,FALSE)</f>
        <v>10</v>
      </c>
      <c r="H18" s="82">
        <f>VLOOKUP($B18,Table_4c[#All],COLUMN(H$1)-3,FALSE)</f>
        <v>11</v>
      </c>
      <c r="I18" s="82">
        <f>VLOOKUP($B18,Table_4c[#All],COLUMN(I$1)-3,FALSE)</f>
        <v>0</v>
      </c>
      <c r="J18" s="82">
        <f>VLOOKUP($B18,Table_4c[#All],COLUMN(J$1)-3,FALSE)</f>
        <v>9</v>
      </c>
      <c r="K18" s="82">
        <f>VLOOKUP($B18,Table_4c[#All],COLUMN(K$1)-3,FALSE)</f>
        <v>3</v>
      </c>
    </row>
    <row r="19" spans="1:11">
      <c r="B19" t="str">
        <f>Table_4c!A8</f>
        <v>April 2023 to March 2024</v>
      </c>
      <c r="C19" t="str">
        <f>IF(ISNUMBER(SEARCH("2015",B19)),"2015-16",IF(ISNUMBER(SEARCH("2016",B19)),"2016-17",IF(ISNUMBER(SEARCH("2017",B19)),"2017-18",IF(ISNUMBER(SEARCH("2018",B19)),"2018-19",IF(ISNUMBER(SEARCH("2019",B19)),"2019-20",IF(ISNUMBER(SEARCH("2020",B19)),"2020-21",IF(ISNUMBER(SEARCH("2021",B19)),"2021-22",IF(ISNUMBER(SEARCH("2022",B19)),"2022-23",IF(ISNUMBER(SEARCH("2023",B19)),"2023-24",IF(ISNUMBER(SEARCH("2024",B19)),"2024-25",IF(ISNUMBER(SEARCH("2025",B19)),"2025-26","")))))))))))</f>
        <v>2023-24</v>
      </c>
      <c r="D19" t="s">
        <v>130</v>
      </c>
      <c r="E19" s="85">
        <v>30</v>
      </c>
      <c r="F19" s="82"/>
      <c r="G19" s="82"/>
      <c r="H19" s="82"/>
      <c r="I19" s="82"/>
      <c r="J19" s="82"/>
      <c r="K19" s="82"/>
    </row>
    <row r="20" spans="1:11">
      <c r="A20" t="str">
        <f>LEFT(Table_4d!$A$1,8)</f>
        <v>Table 4d</v>
      </c>
      <c r="B20" t="str">
        <f>Table_4d!A6</f>
        <v>April 2020 to March 2021</v>
      </c>
      <c r="C20" t="str">
        <f t="shared" si="0"/>
        <v>2020-21</v>
      </c>
      <c r="D20" t="s">
        <v>155</v>
      </c>
      <c r="E20" s="85"/>
      <c r="F20" s="82"/>
      <c r="G20" s="82"/>
      <c r="H20" s="82"/>
      <c r="I20" s="82"/>
      <c r="J20" s="82"/>
      <c r="K20" s="82"/>
    </row>
    <row r="21" spans="1:11">
      <c r="A21" t="str">
        <f>LEFT(Table_4d!$A$1,8)</f>
        <v>Table 4d</v>
      </c>
      <c r="B21" t="str">
        <f>Table_4d!A7</f>
        <v>April 2021 to March 2022</v>
      </c>
      <c r="C21" t="str">
        <f t="shared" si="0"/>
        <v>2021-22</v>
      </c>
      <c r="D21" t="s">
        <v>155</v>
      </c>
      <c r="E21" s="85">
        <f>VLOOKUP($B21,Table_4d[#All],COLUMN(E$1)-3,FALSE)</f>
        <v>37178</v>
      </c>
      <c r="F21" s="82"/>
      <c r="G21" s="82"/>
      <c r="H21" s="82"/>
      <c r="I21" s="82"/>
      <c r="J21" s="82"/>
      <c r="K21" s="82"/>
    </row>
    <row r="22" spans="1:11">
      <c r="A22" t="str">
        <f>LEFT(Table_4d!$A$1,8)</f>
        <v>Table 4d</v>
      </c>
      <c r="B22" t="str">
        <f>Table_4d!A8</f>
        <v>April 2022 to March 2023</v>
      </c>
      <c r="C22" t="str">
        <f t="shared" si="0"/>
        <v>2022-23</v>
      </c>
      <c r="D22" t="s">
        <v>155</v>
      </c>
      <c r="E22" s="85">
        <f>VLOOKUP($B22,Table_4d[#All],COLUMN(E$1)-3,FALSE)</f>
        <v>44809</v>
      </c>
      <c r="F22" s="82"/>
      <c r="G22" s="82"/>
      <c r="H22" s="82"/>
      <c r="I22" s="82"/>
      <c r="J22" s="82"/>
      <c r="K22" s="82"/>
    </row>
    <row r="23" spans="1:11">
      <c r="B23" t="str">
        <f>Table_4d!A9</f>
        <v>April 2023 to March 2024</v>
      </c>
      <c r="C23" t="str">
        <f>IF(ISNUMBER(SEARCH("2015",B23)),"2015-16",IF(ISNUMBER(SEARCH("2016",B23)),"2016-17",IF(ISNUMBER(SEARCH("2017",B23)),"2017-18",IF(ISNUMBER(SEARCH("2018",B23)),"2018-19",IF(ISNUMBER(SEARCH("2019",B23)),"2019-20",IF(ISNUMBER(SEARCH("2020",B23)),"2020-21",IF(ISNUMBER(SEARCH("2021",B23)),"2021-22",IF(ISNUMBER(SEARCH("2022",B23)),"2022-23",IF(ISNUMBER(SEARCH("2023",B23)),"2023-24",IF(ISNUMBER(SEARCH("2024",B23)),"2024-25",IF(ISNUMBER(SEARCH("2025",B23)),"2025-26","")))))))))))</f>
        <v>2023-24</v>
      </c>
      <c r="D23" t="s">
        <v>155</v>
      </c>
      <c r="E23" s="85">
        <v>45266</v>
      </c>
      <c r="F23" s="82"/>
      <c r="G23" s="82"/>
      <c r="H23" s="82"/>
      <c r="I23" s="82"/>
      <c r="J23" s="82"/>
      <c r="K23" s="82"/>
    </row>
    <row r="24" spans="1:11">
      <c r="A24" t="str">
        <f>LEFT(Table_4e!$A$1,8)</f>
        <v>Table 4e</v>
      </c>
      <c r="B24" t="str">
        <f>Table_4e!A5</f>
        <v>April 2015 to March 2016</v>
      </c>
      <c r="C24" t="str">
        <f t="shared" si="0"/>
        <v>2015-16</v>
      </c>
      <c r="D24" t="s">
        <v>156</v>
      </c>
      <c r="E24" s="85">
        <f>VLOOKUP($B24,Table_4e[#All],COLUMN(E$1)-3,FALSE)</f>
        <v>406523</v>
      </c>
      <c r="F24" s="82"/>
      <c r="G24" s="82"/>
      <c r="H24" s="82"/>
      <c r="I24" s="82"/>
      <c r="J24" s="82"/>
      <c r="K24" s="82"/>
    </row>
    <row r="25" spans="1:11">
      <c r="A25" t="str">
        <f>LEFT(Table_4e!$A$1,8)</f>
        <v>Table 4e</v>
      </c>
      <c r="B25" t="str">
        <f>Table_4e!A6</f>
        <v>April 2016 to March 2017</v>
      </c>
      <c r="C25" t="str">
        <f t="shared" si="0"/>
        <v>2016-17</v>
      </c>
      <c r="D25" t="s">
        <v>156</v>
      </c>
      <c r="E25" s="85">
        <f>VLOOKUP($B25,Table_4e[#All],COLUMN(E$1)-3,FALSE)</f>
        <v>326535</v>
      </c>
      <c r="F25" s="82"/>
      <c r="G25" s="82"/>
      <c r="H25" s="82"/>
      <c r="I25" s="82"/>
      <c r="J25" s="82"/>
      <c r="K25" s="82"/>
    </row>
    <row r="26" spans="1:11">
      <c r="A26" t="str">
        <f>LEFT(Table_4e!$A$1,8)</f>
        <v>Table 4e</v>
      </c>
      <c r="B26" t="str">
        <f>Table_4e!A7</f>
        <v>April 2017 to March 2018</v>
      </c>
      <c r="C26" t="str">
        <f t="shared" si="0"/>
        <v>2017-18</v>
      </c>
      <c r="D26" t="s">
        <v>156</v>
      </c>
      <c r="E26" s="85">
        <f>VLOOKUP($B26,Table_4e[#All],COLUMN(E$1)-3,FALSE)</f>
        <v>255000</v>
      </c>
      <c r="F26" s="82"/>
      <c r="G26" s="82"/>
      <c r="H26" s="82"/>
      <c r="I26" s="82"/>
      <c r="J26" s="82"/>
      <c r="K26" s="82"/>
    </row>
    <row r="27" spans="1:11">
      <c r="A27" t="str">
        <f>LEFT(Table_4e!$A$1,8)</f>
        <v>Table 4e</v>
      </c>
      <c r="B27" t="str">
        <f>Table_4e!A8</f>
        <v>April 2018 to March 2019</v>
      </c>
      <c r="C27" t="str">
        <f t="shared" si="0"/>
        <v>2018-19</v>
      </c>
      <c r="D27" t="s">
        <v>156</v>
      </c>
      <c r="E27" s="85">
        <f>VLOOKUP($B27,Table_4e[#All],COLUMN(E$1)-3,FALSE)</f>
        <v>293684</v>
      </c>
      <c r="F27" s="82"/>
      <c r="G27" s="82"/>
      <c r="H27" s="82"/>
      <c r="I27" s="82"/>
      <c r="J27" s="82"/>
      <c r="K27" s="82"/>
    </row>
    <row r="28" spans="1:11">
      <c r="A28" t="str">
        <f>LEFT(Table_4e!$A$1,8)</f>
        <v>Table 4e</v>
      </c>
      <c r="B28" t="str">
        <f>Table_4e!A9</f>
        <v>April 2019 to March 2020</v>
      </c>
      <c r="C28" t="str">
        <f t="shared" si="0"/>
        <v>2019-20</v>
      </c>
      <c r="D28" t="s">
        <v>156</v>
      </c>
      <c r="E28" s="85">
        <f>VLOOKUP($B28,Table_4e[#All],COLUMN(E$1)-3,FALSE)</f>
        <v>563847</v>
      </c>
      <c r="F28" s="82"/>
      <c r="G28" s="82"/>
      <c r="H28" s="82"/>
      <c r="I28" s="82"/>
      <c r="J28" s="82"/>
      <c r="K28" s="82"/>
    </row>
    <row r="29" spans="1:11">
      <c r="A29" t="str">
        <f>LEFT(Table_4e!$A$1,8)</f>
        <v>Table 4e</v>
      </c>
      <c r="B29" t="str">
        <f>Table_4e!A10</f>
        <v xml:space="preserve">April 2020 to March 2021 </v>
      </c>
      <c r="C29" t="str">
        <f t="shared" si="0"/>
        <v>2020-21</v>
      </c>
      <c r="D29" t="s">
        <v>156</v>
      </c>
      <c r="E29" s="85">
        <f>VLOOKUP($B29,Table_4e[#All],COLUMN(E$1)-3,FALSE)</f>
        <v>365353</v>
      </c>
      <c r="F29" s="82"/>
      <c r="G29" s="82"/>
      <c r="H29" s="82"/>
      <c r="I29" s="82"/>
      <c r="J29" s="82"/>
      <c r="K29" s="82"/>
    </row>
    <row r="30" spans="1:11">
      <c r="A30" t="str">
        <f>LEFT(Table_4e!$A$1,8)</f>
        <v>Table 4e</v>
      </c>
      <c r="B30" t="str">
        <f>Table_4e!A11</f>
        <v>March 2021 to April 2022</v>
      </c>
      <c r="C30" t="str">
        <f t="shared" si="0"/>
        <v>2021-22</v>
      </c>
      <c r="D30" t="s">
        <v>156</v>
      </c>
      <c r="E30" s="85">
        <f>VLOOKUP($B30,Table_4e[#All],COLUMN(E$1)-3,FALSE)</f>
        <v>286238</v>
      </c>
      <c r="F30" s="85">
        <v>56873</v>
      </c>
      <c r="G30" s="85">
        <v>32402</v>
      </c>
      <c r="H30" s="85">
        <v>47102</v>
      </c>
      <c r="I30" s="85">
        <v>34714</v>
      </c>
      <c r="J30" s="85">
        <v>99538</v>
      </c>
      <c r="K30" s="85">
        <v>15609</v>
      </c>
    </row>
    <row r="31" spans="1:11">
      <c r="A31" t="str">
        <f>LEFT(Table_4e!$A$1,8)</f>
        <v>Table 4e</v>
      </c>
      <c r="B31" t="str">
        <f>Table_4e!A12</f>
        <v>April 2022 to March 2023</v>
      </c>
      <c r="C31" t="str">
        <f>IF(ISNUMBER(SEARCH("2015",B31)),"2015-16",IF(ISNUMBER(SEARCH("2016",B31)),"2016-17",IF(ISNUMBER(SEARCH("2017",B31)),"2017-18",IF(ISNUMBER(SEARCH("2018",B31)),"2018-19",IF(ISNUMBER(SEARCH("2019",B31)),"2019-20",IF(ISNUMBER(SEARCH("2020",B31)),"2020-21",IF(ISNUMBER(SEARCH("2021",B31)),"2021-22",IF(ISNUMBER(SEARCH("2022",B31)),"2022-23",IF(ISNUMBER(SEARCH("2023",B31)),"2023-24",IF(ISNUMBER(SEARCH("2024",B31)),"2024-25",IF(ISNUMBER(SEARCH("2025",B31)),"2025-26","")))))))))))</f>
        <v>2022-23</v>
      </c>
      <c r="D31" t="s">
        <v>156</v>
      </c>
      <c r="E31" s="85">
        <v>346910</v>
      </c>
      <c r="F31" s="85">
        <v>93692</v>
      </c>
      <c r="G31" s="85">
        <v>68143</v>
      </c>
      <c r="H31" s="85">
        <v>45759</v>
      </c>
      <c r="I31" s="85">
        <v>17137</v>
      </c>
      <c r="J31" s="85">
        <v>82609</v>
      </c>
      <c r="K31" s="85">
        <v>39569</v>
      </c>
    </row>
    <row r="32" spans="1:11">
      <c r="B32" t="str">
        <f>Table_4e!A13</f>
        <v>April 2023 to March 2024</v>
      </c>
      <c r="C32" t="str">
        <f>IF(ISNUMBER(SEARCH("2015",B32)),"2015-16",IF(ISNUMBER(SEARCH("2016",B32)),"2016-17",IF(ISNUMBER(SEARCH("2017",B32)),"2017-18",IF(ISNUMBER(SEARCH("2018",B32)),"2018-19",IF(ISNUMBER(SEARCH("2019",B32)),"2019-20",IF(ISNUMBER(SEARCH("2020",B32)),"2020-21",IF(ISNUMBER(SEARCH("2021",B32)),"2021-22",IF(ISNUMBER(SEARCH("2022",B32)),"2022-23",IF(ISNUMBER(SEARCH("2023",B32)),"2023-24",IF(ISNUMBER(SEARCH("2024",B32)),"2024-25",IF(ISNUMBER(SEARCH("2025",B32)),"2025-26","")))))))))))</f>
        <v>2023-24</v>
      </c>
      <c r="D32" t="s">
        <v>156</v>
      </c>
      <c r="E32" s="85">
        <v>410562</v>
      </c>
      <c r="F32" s="85"/>
      <c r="G32" s="85"/>
      <c r="H32" s="85"/>
      <c r="I32" s="85"/>
      <c r="J32" s="85"/>
      <c r="K32" s="85"/>
    </row>
    <row r="33" spans="1:11">
      <c r="A33" t="str">
        <f>LEFT(Table_4f!$A$1,8)</f>
        <v>Table 4f</v>
      </c>
      <c r="B33" t="str">
        <f>Table_4f!A4</f>
        <v xml:space="preserve">April 2020 to March 2021 </v>
      </c>
      <c r="C33" t="str">
        <f t="shared" si="0"/>
        <v>2020-21</v>
      </c>
      <c r="D33" t="s">
        <v>157</v>
      </c>
      <c r="E33" s="85">
        <f>VLOOKUP($B33,Table_4f[#All],COLUMN(E$1)-3,FALSE)</f>
        <v>51580</v>
      </c>
      <c r="F33" s="82"/>
      <c r="G33" s="82"/>
      <c r="H33" s="82"/>
      <c r="I33" s="82"/>
      <c r="J33" s="82"/>
      <c r="K33" s="82"/>
    </row>
    <row r="34" spans="1:11">
      <c r="A34" t="str">
        <f>LEFT(Table_4f!$A$1,8)</f>
        <v>Table 4f</v>
      </c>
      <c r="B34" t="str">
        <f>Table_4f!A5</f>
        <v>April 2021 to March 2022</v>
      </c>
      <c r="C34" t="str">
        <f t="shared" si="0"/>
        <v>2021-22</v>
      </c>
      <c r="D34" t="s">
        <v>157</v>
      </c>
      <c r="E34" s="85">
        <f>VLOOKUP($B34,Table_4f[#All],COLUMN(E$1)-3,FALSE)</f>
        <v>51592</v>
      </c>
      <c r="F34" s="82"/>
      <c r="G34" s="82"/>
      <c r="H34" s="82"/>
      <c r="I34" s="82"/>
      <c r="J34" s="82"/>
      <c r="K34" s="82"/>
    </row>
    <row r="35" spans="1:11">
      <c r="A35" t="str">
        <f>LEFT(Table_4f!$A$1,8)</f>
        <v>Table 4f</v>
      </c>
      <c r="B35" t="str">
        <f>Table_4f!A6</f>
        <v>April 2022 to March 2023</v>
      </c>
      <c r="C35" t="str">
        <f t="shared" si="0"/>
        <v>2022-23</v>
      </c>
      <c r="D35" t="s">
        <v>157</v>
      </c>
      <c r="E35" s="85">
        <f>VLOOKUP($B35,Table_4f[#All],COLUMN(E$1)-3,FALSE)</f>
        <v>51626</v>
      </c>
      <c r="F35" s="82"/>
      <c r="G35" s="82"/>
      <c r="H35" s="82"/>
      <c r="I35" s="82"/>
      <c r="J35" s="82"/>
      <c r="K35" s="82"/>
    </row>
    <row r="36" spans="1:11">
      <c r="B36" t="str">
        <f>Table_4f!A7</f>
        <v>April 2023 to March 2024</v>
      </c>
      <c r="C36" t="str">
        <f>IF(ISNUMBER(SEARCH("2015",B36)),"2015-16",IF(ISNUMBER(SEARCH("2016",B36)),"2016-17",IF(ISNUMBER(SEARCH("2017",B36)),"2017-18",IF(ISNUMBER(SEARCH("2018",B36)),"2018-19",IF(ISNUMBER(SEARCH("2019",B36)),"2019-20",IF(ISNUMBER(SEARCH("2020",B36)),"2020-21",IF(ISNUMBER(SEARCH("2021",B36)),"2021-22",IF(ISNUMBER(SEARCH("2022",B36)),"2022-23",IF(ISNUMBER(SEARCH("2023",B36)),"2023-24",IF(ISNUMBER(SEARCH("2024",B36)),"2024-25",IF(ISNUMBER(SEARCH("2025",B36)),"2025-26","")))))))))))</f>
        <v>2023-24</v>
      </c>
      <c r="D36" t="s">
        <v>157</v>
      </c>
      <c r="E36" s="85">
        <v>51626</v>
      </c>
      <c r="F36" s="82"/>
      <c r="G36" s="82"/>
      <c r="H36" s="82"/>
      <c r="I36" s="82"/>
      <c r="J36" s="82"/>
      <c r="K36" s="82"/>
    </row>
    <row r="37" spans="1:11">
      <c r="A37" t="str">
        <f>LEFT(Table_4g!$A$1,8)</f>
        <v>Table 4g</v>
      </c>
      <c r="B37" t="str">
        <f>Table_4g!A4</f>
        <v xml:space="preserve">April 2020 to March 2021 </v>
      </c>
      <c r="C37" t="str">
        <f t="shared" si="0"/>
        <v>2020-21</v>
      </c>
      <c r="D37" t="s">
        <v>158</v>
      </c>
      <c r="E37" s="85">
        <f>VLOOKUP($B37,Table_4g[#All],COLUMN(E$1)-3,FALSE)</f>
        <v>17</v>
      </c>
      <c r="F37" s="85">
        <v>2.2000000000000002</v>
      </c>
      <c r="G37" s="85">
        <v>1</v>
      </c>
      <c r="H37" s="85">
        <v>1</v>
      </c>
      <c r="I37" s="85">
        <v>12.6</v>
      </c>
      <c r="J37" s="85">
        <v>0</v>
      </c>
      <c r="K37" s="85">
        <v>0</v>
      </c>
    </row>
    <row r="38" spans="1:11">
      <c r="A38" t="str">
        <f>LEFT(Table_4g!$A$1,8)</f>
        <v>Table 4g</v>
      </c>
      <c r="B38" t="str">
        <f>Table_4g!A5</f>
        <v>April 2021 to March 2022</v>
      </c>
      <c r="C38" t="str">
        <f t="shared" si="0"/>
        <v>2021-22</v>
      </c>
      <c r="D38" t="s">
        <v>158</v>
      </c>
      <c r="E38" s="85">
        <f>VLOOKUP($B38,Table_4g[#All],COLUMN(E$1)-3,FALSE)</f>
        <v>15</v>
      </c>
      <c r="F38" s="85">
        <v>2</v>
      </c>
      <c r="G38" s="85">
        <v>2.2999999999999998</v>
      </c>
      <c r="H38" s="85">
        <v>0</v>
      </c>
      <c r="I38" s="85">
        <v>0</v>
      </c>
      <c r="J38" s="85">
        <v>0</v>
      </c>
      <c r="K38" s="85">
        <v>11</v>
      </c>
    </row>
    <row r="39" spans="1:11">
      <c r="A39" t="str">
        <f>LEFT(Table_4g!$A$1,8)</f>
        <v>Table 4g</v>
      </c>
      <c r="B39" t="str">
        <f>Table_4g!A6</f>
        <v>April 2022 to March 2023</v>
      </c>
      <c r="C39" t="str">
        <f t="shared" si="0"/>
        <v>2022-23</v>
      </c>
      <c r="D39" t="s">
        <v>158</v>
      </c>
      <c r="E39" s="85">
        <v>6.7</v>
      </c>
      <c r="F39" s="85">
        <v>2.5</v>
      </c>
      <c r="G39" s="85">
        <v>1.4</v>
      </c>
      <c r="H39" s="85">
        <v>0</v>
      </c>
      <c r="I39" s="85">
        <v>0</v>
      </c>
      <c r="J39" s="85">
        <v>1</v>
      </c>
      <c r="K39" s="85">
        <v>1.8</v>
      </c>
    </row>
    <row r="40" spans="1:11">
      <c r="B40" t="str">
        <f>Table_4g!A7</f>
        <v>April 2023 to March 2024</v>
      </c>
      <c r="C40" t="str">
        <f>IF(ISNUMBER(SEARCH("2015",B40)),"2015-16",IF(ISNUMBER(SEARCH("2016",B40)),"2016-17",IF(ISNUMBER(SEARCH("2017",B40)),"2017-18",IF(ISNUMBER(SEARCH("2018",B40)),"2018-19",IF(ISNUMBER(SEARCH("2019",B40)),"2019-20",IF(ISNUMBER(SEARCH("2020",B40)),"2020-21",IF(ISNUMBER(SEARCH("2021",B40)),"2021-22",IF(ISNUMBER(SEARCH("2022",B40)),"2022-23",IF(ISNUMBER(SEARCH("2023",B40)),"2023-24",IF(ISNUMBER(SEARCH("2024",B40)),"2024-25",IF(ISNUMBER(SEARCH("2025",B40)),"2025-26","")))))))))))</f>
        <v>2023-24</v>
      </c>
      <c r="D40" t="s">
        <v>158</v>
      </c>
      <c r="E40" s="85">
        <v>3.004</v>
      </c>
      <c r="F40" s="85"/>
      <c r="G40" s="85"/>
      <c r="H40" s="85"/>
      <c r="I40" s="85"/>
      <c r="J40" s="85"/>
      <c r="K40" s="85"/>
    </row>
    <row r="41" spans="1:11">
      <c r="A41" t="str">
        <f>LEFT(Table_4h!$A$1,8)</f>
        <v>Table 4h</v>
      </c>
      <c r="B41" t="str">
        <f>Table_4h!A4</f>
        <v xml:space="preserve">April 2020 to March 2021 </v>
      </c>
      <c r="C41" t="str">
        <f t="shared" si="0"/>
        <v>2020-21</v>
      </c>
      <c r="D41" t="s">
        <v>159</v>
      </c>
      <c r="E41" s="85">
        <f>VLOOKUP($B41,Table_4h[#All],COLUMN(E$1)-3,FALSE)</f>
        <v>49.2</v>
      </c>
    </row>
    <row r="42" spans="1:11">
      <c r="A42" t="str">
        <f>LEFT(Table_4h!$A$1,8)</f>
        <v>Table 4h</v>
      </c>
      <c r="B42" t="str">
        <f>Table_4h!A5</f>
        <v>April 2021 to March 2022</v>
      </c>
      <c r="C42" t="str">
        <f t="shared" si="0"/>
        <v>2021-22</v>
      </c>
      <c r="D42" t="s">
        <v>159</v>
      </c>
      <c r="E42" s="85">
        <f>VLOOKUP($B42,Table_4h[#All],COLUMN(E$1)-3,FALSE)</f>
        <v>60.8</v>
      </c>
    </row>
    <row r="43" spans="1:11">
      <c r="B43" t="str">
        <f>Table_4h!A6</f>
        <v>April 2022 to March 2023</v>
      </c>
      <c r="C43" t="str">
        <f>IF(ISNUMBER(SEARCH("2015",B43)),"2015-16",IF(ISNUMBER(SEARCH("2016",B43)),"2016-17",IF(ISNUMBER(SEARCH("2017",B43)),"2017-18",IF(ISNUMBER(SEARCH("2018",B43)),"2018-19",IF(ISNUMBER(SEARCH("2019",B43)),"2019-20",IF(ISNUMBER(SEARCH("2020",B43)),"2020-21",IF(ISNUMBER(SEARCH("2021",B43)),"2021-22",IF(ISNUMBER(SEARCH("2022",B43)),"2022-23",IF(ISNUMBER(SEARCH("2023",B43)),"2023-24",IF(ISNUMBER(SEARCH("2024",B43)),"2024-25",IF(ISNUMBER(SEARCH("2025",B43)),"2025-26","")))))))))))</f>
        <v>2022-23</v>
      </c>
      <c r="D43" t="s">
        <v>159</v>
      </c>
      <c r="E43" s="85">
        <f>VLOOKUP($B43,Table_4h[#All],COLUMN(E$1)-3,FALSE)</f>
        <v>53.6</v>
      </c>
    </row>
    <row r="44" spans="1:11">
      <c r="A44" t="str">
        <f>LEFT(Table_4h!$A$1,8)</f>
        <v>Table 4h</v>
      </c>
      <c r="B44" t="str">
        <f>Table_4h!A7</f>
        <v>April 2023 to March 2024</v>
      </c>
      <c r="C44" t="str">
        <f t="shared" si="0"/>
        <v>2023-24</v>
      </c>
      <c r="D44" t="s">
        <v>159</v>
      </c>
      <c r="E44" s="85">
        <f>VLOOKUP($B44,Table_4h[#All],COLUMN(E$1)-3,FALSE)</f>
        <v>59.2</v>
      </c>
    </row>
  </sheetData>
  <pageMargins left="0.7" right="0.7" top="0.75" bottom="0.75" header="0.3" footer="0.3"/>
  <pageSetup paperSize="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Notes </vt:lpstr>
      <vt:lpstr>Table_of_contents</vt:lpstr>
      <vt:lpstr>Dashboard </vt:lpstr>
      <vt:lpstr>Table_4a</vt:lpstr>
      <vt:lpstr>Table_4b</vt:lpstr>
      <vt:lpstr>Table_4c</vt:lpstr>
      <vt:lpstr>Table_4d</vt:lpstr>
      <vt:lpstr>Table_4e</vt:lpstr>
      <vt:lpstr>Table_4f</vt:lpstr>
      <vt:lpstr>Table_4g</vt:lpstr>
      <vt:lpstr>Table_4h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2024-07-29T10:36:55Z</dcterms:created>
  <dcterms:modified xsi:type="dcterms:W3CDTF">2024-07-29T14:40:29Z</dcterms:modified>
  <cp:category/>
  <cp:contentStatus/>
</cp:coreProperties>
</file>