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hidePivotFieldList="1" defaultThemeVersion="166925"/>
  <xr:revisionPtr revIDLastSave="904" documentId="13_ncr:1_{A3EA6257-822C-451D-B7BC-9F059BB945F1}" xr6:coauthVersionLast="47" xr6:coauthVersionMax="47" xr10:uidLastSave="{83866D8F-7877-45EA-8F16-6E4E31E75382}"/>
  <workbookProtection workbookAlgorithmName="SHA-512" workbookHashValue="YW/v4IJs5jfscIaR64Yt1xYuzvo75ZioWY1ruycFYrKDRW6bZLv/Yb50SO1qLQY/prqv3EBBRxPoR2Ii7odu/w==" workbookSaltValue="IEDYSMAd9zBUw8Fdv3BhwQ==" workbookSpinCount="100000" lockStructure="1"/>
  <bookViews>
    <workbookView xWindow="-28920" yWindow="-120" windowWidth="29040" windowHeight="15720" tabRatio="811" xr2:uid="{5D2AAEAF-2E29-4354-BE1C-896EFCD9B8D1}"/>
  </bookViews>
  <sheets>
    <sheet name="Cover_sheet" sheetId="4" r:id="rId1"/>
    <sheet name="Notes " sheetId="5" r:id="rId2"/>
    <sheet name="Table_of_contents" sheetId="12" r:id="rId3"/>
    <sheet name="Dashboard " sheetId="14" r:id="rId4"/>
    <sheet name="Table_5a" sheetId="6" r:id="rId5"/>
    <sheet name="Table_5b" sheetId="7" r:id="rId6"/>
    <sheet name="Table_5c" sheetId="8" r:id="rId7"/>
    <sheet name="Table_5d" sheetId="9" r:id="rId8"/>
    <sheet name="Table_5e" sheetId="13" r:id="rId9"/>
    <sheet name="data" sheetId="16" state="veryHidden" r:id="rId10"/>
    <sheet name="workings" sheetId="15" state="veryHidden" r:id="rId11"/>
  </sheets>
  <definedNames>
    <definedName name="Slicer_KPI">#N/A</definedName>
    <definedName name="Slicer_Year">#N/A</definedName>
  </definedNames>
  <calcPr calcId="191028"/>
  <pivotCaches>
    <pivotCache cacheId="20" r:id="rId12"/>
  </pivotCaches>
  <extLst>
    <ext xmlns:x14="http://schemas.microsoft.com/office/spreadsheetml/2009/9/main" uri="{BBE1A952-AA13-448e-AADC-164F8A28A991}">
      <x14:slicerCaches>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 i="16" l="1"/>
  <c r="B26" i="16"/>
  <c r="H26" i="16" s="1"/>
  <c r="C26" i="16"/>
  <c r="E26" i="16"/>
  <c r="F26" i="16"/>
  <c r="G26" i="16"/>
  <c r="A27" i="16"/>
  <c r="B27" i="16"/>
  <c r="J27" i="16" s="1"/>
  <c r="C27" i="16"/>
  <c r="E27" i="16"/>
  <c r="F27" i="16"/>
  <c r="G27" i="16"/>
  <c r="H27" i="16"/>
  <c r="I27" i="16"/>
  <c r="A23" i="16"/>
  <c r="B23" i="16"/>
  <c r="C23" i="16" s="1"/>
  <c r="A19" i="16"/>
  <c r="B19" i="16"/>
  <c r="C19" i="16" s="1"/>
  <c r="A15" i="16"/>
  <c r="B15" i="16"/>
  <c r="C15" i="16" s="1"/>
  <c r="B11" i="16"/>
  <c r="C11" i="16" s="1"/>
  <c r="A11" i="16"/>
  <c r="K26" i="16" l="1"/>
  <c r="J26" i="16"/>
  <c r="K27" i="16"/>
  <c r="I26" i="16"/>
  <c r="K23" i="16"/>
  <c r="J23" i="16"/>
  <c r="I23" i="16"/>
  <c r="H23" i="16"/>
  <c r="G23" i="16"/>
  <c r="F23" i="16"/>
  <c r="E23" i="16"/>
  <c r="K19" i="16"/>
  <c r="I19" i="16"/>
  <c r="H19" i="16"/>
  <c r="J19" i="16"/>
  <c r="G19" i="16"/>
  <c r="F19" i="16"/>
  <c r="E19" i="16"/>
  <c r="K15" i="16"/>
  <c r="J15" i="16"/>
  <c r="I15" i="16"/>
  <c r="H15" i="16"/>
  <c r="G15" i="16"/>
  <c r="F15" i="16"/>
  <c r="E15" i="16"/>
  <c r="K11" i="16"/>
  <c r="I11" i="16"/>
  <c r="G11" i="16"/>
  <c r="F11" i="16"/>
  <c r="J11" i="16"/>
  <c r="H11" i="16"/>
  <c r="E11" i="16"/>
  <c r="A26" i="15" l="1"/>
  <c r="M59" i="15"/>
  <c r="A59" i="15"/>
  <c r="S59" i="15" l="1"/>
  <c r="T59" i="15"/>
  <c r="N59" i="15"/>
  <c r="O59" i="15"/>
  <c r="H59" i="15"/>
  <c r="B59" i="15"/>
  <c r="C59" i="15"/>
  <c r="P59" i="15"/>
  <c r="Q59" i="15"/>
  <c r="R59" i="15"/>
  <c r="D59" i="15"/>
  <c r="G59" i="15"/>
  <c r="H10" i="16"/>
  <c r="B22" i="16"/>
  <c r="B18" i="16"/>
  <c r="B16" i="16"/>
  <c r="C16" i="16" s="1"/>
  <c r="B17" i="16"/>
  <c r="B20" i="16"/>
  <c r="B21" i="16"/>
  <c r="B24" i="16"/>
  <c r="E24" i="16" s="1"/>
  <c r="B25" i="16"/>
  <c r="E25" i="16" s="1"/>
  <c r="B14" i="16"/>
  <c r="A22" i="16"/>
  <c r="A18" i="16"/>
  <c r="A14" i="16"/>
  <c r="B10" i="16"/>
  <c r="F10" i="16" s="1"/>
  <c r="A10" i="16"/>
  <c r="A25" i="15"/>
  <c r="O63" i="15" l="1"/>
  <c r="O66" i="15" s="1"/>
  <c r="O62" i="15"/>
  <c r="O65" i="15" s="1"/>
  <c r="I25" i="16"/>
  <c r="C25" i="16"/>
  <c r="J25" i="16"/>
  <c r="E10" i="16"/>
  <c r="H25" i="16"/>
  <c r="K10" i="16"/>
  <c r="J10" i="16"/>
  <c r="I10" i="16"/>
  <c r="C10" i="16"/>
  <c r="G10" i="16"/>
  <c r="K25" i="16"/>
  <c r="G25" i="16"/>
  <c r="F25" i="16"/>
  <c r="E21" i="16"/>
  <c r="F21" i="16"/>
  <c r="G21" i="16"/>
  <c r="H21" i="16"/>
  <c r="I21" i="16"/>
  <c r="J21" i="16"/>
  <c r="K21" i="16"/>
  <c r="C21" i="16"/>
  <c r="E20" i="16"/>
  <c r="F20" i="16"/>
  <c r="G20" i="16"/>
  <c r="H20" i="16"/>
  <c r="I20" i="16"/>
  <c r="J20" i="16"/>
  <c r="K20" i="16"/>
  <c r="C20" i="16"/>
  <c r="E22" i="16"/>
  <c r="F22" i="16"/>
  <c r="G22" i="16"/>
  <c r="H22" i="16"/>
  <c r="I22" i="16"/>
  <c r="J22" i="16"/>
  <c r="K22" i="16"/>
  <c r="C22" i="16"/>
  <c r="E17" i="16"/>
  <c r="F17" i="16"/>
  <c r="G17" i="16"/>
  <c r="H17" i="16"/>
  <c r="I17" i="16"/>
  <c r="J17" i="16"/>
  <c r="K17" i="16"/>
  <c r="C17" i="16"/>
  <c r="E18" i="16"/>
  <c r="F18" i="16"/>
  <c r="G18" i="16"/>
  <c r="H18" i="16"/>
  <c r="I18" i="16"/>
  <c r="J18" i="16"/>
  <c r="K18" i="16"/>
  <c r="C18" i="16"/>
  <c r="E14" i="16"/>
  <c r="F14" i="16"/>
  <c r="G14" i="16"/>
  <c r="H14" i="16"/>
  <c r="I14" i="16"/>
  <c r="J14" i="16"/>
  <c r="K14" i="16"/>
  <c r="C14" i="16"/>
  <c r="M13" i="14"/>
  <c r="M11" i="14"/>
  <c r="K16" i="16"/>
  <c r="J16" i="16"/>
  <c r="H16" i="16"/>
  <c r="I16" i="16"/>
  <c r="G16" i="16"/>
  <c r="F16" i="16"/>
  <c r="E16" i="16"/>
  <c r="C24" i="16"/>
  <c r="A23" i="15"/>
  <c r="Q65" i="15" l="1"/>
  <c r="Q62" i="15"/>
  <c r="U62" i="15" s="1"/>
  <c r="Q66" i="15"/>
  <c r="Q63" i="15"/>
  <c r="U63" i="15" s="1"/>
  <c r="A24" i="15"/>
  <c r="M18" i="14" s="1"/>
  <c r="M17" i="14"/>
  <c r="F59" i="15"/>
  <c r="M19" i="14"/>
  <c r="A25" i="16"/>
  <c r="A24" i="16"/>
  <c r="A21" i="16"/>
  <c r="A20" i="16"/>
  <c r="A17" i="16"/>
  <c r="A16" i="16"/>
  <c r="A13" i="16"/>
  <c r="A12" i="16"/>
  <c r="B13" i="16"/>
  <c r="B12" i="16"/>
  <c r="B4" i="16"/>
  <c r="B5" i="16"/>
  <c r="B6" i="16"/>
  <c r="C6" i="16" s="1"/>
  <c r="B7" i="16"/>
  <c r="B8" i="16"/>
  <c r="B9" i="16"/>
  <c r="B3" i="16"/>
  <c r="A4" i="16"/>
  <c r="A5" i="16"/>
  <c r="A6" i="16"/>
  <c r="A7" i="16"/>
  <c r="A8" i="16"/>
  <c r="A9" i="16"/>
  <c r="A3" i="16"/>
  <c r="R62" i="15" l="1"/>
  <c r="R63" i="15"/>
  <c r="U66" i="15"/>
  <c r="R66" i="15"/>
  <c r="U65" i="15"/>
  <c r="R65" i="15"/>
  <c r="E12" i="16"/>
  <c r="F12" i="16"/>
  <c r="G12" i="16"/>
  <c r="H12" i="16"/>
  <c r="I12" i="16"/>
  <c r="J12" i="16"/>
  <c r="K12" i="16"/>
  <c r="C12" i="16"/>
  <c r="E13" i="16"/>
  <c r="F13" i="16"/>
  <c r="G13" i="16"/>
  <c r="H13" i="16"/>
  <c r="I13" i="16"/>
  <c r="J13" i="16"/>
  <c r="K13" i="16"/>
  <c r="C13" i="16"/>
  <c r="C3" i="16"/>
  <c r="K3" i="16"/>
  <c r="E3" i="16"/>
  <c r="G3" i="16"/>
  <c r="I3" i="16"/>
  <c r="J3" i="16"/>
  <c r="F3" i="16"/>
  <c r="H3" i="16"/>
  <c r="F7" i="16"/>
  <c r="G7" i="16"/>
  <c r="H7" i="16"/>
  <c r="J7" i="16"/>
  <c r="K7" i="16"/>
  <c r="I7" i="16"/>
  <c r="I5" i="16"/>
  <c r="J5" i="16"/>
  <c r="F5" i="16"/>
  <c r="K5" i="16"/>
  <c r="E5" i="16"/>
  <c r="G5" i="16"/>
  <c r="H5" i="16"/>
  <c r="C4" i="16"/>
  <c r="H4" i="16"/>
  <c r="I4" i="16"/>
  <c r="E4" i="16"/>
  <c r="G4" i="16"/>
  <c r="J4" i="16"/>
  <c r="K4" i="16"/>
  <c r="F4" i="16"/>
  <c r="J6" i="16"/>
  <c r="C5" i="16"/>
  <c r="C8" i="16"/>
  <c r="E7" i="16"/>
  <c r="H6" i="16"/>
  <c r="C7" i="16"/>
  <c r="K6" i="16"/>
  <c r="I6" i="16"/>
  <c r="G6" i="16"/>
  <c r="F6" i="16"/>
  <c r="C9" i="16"/>
  <c r="E59" i="15"/>
  <c r="B79" i="15" s="1"/>
  <c r="A27" i="15" s="1"/>
  <c r="E6" i="16"/>
  <c r="B62" i="15" l="1"/>
  <c r="Y63" i="15"/>
  <c r="W63" i="15"/>
  <c r="Y62" i="15"/>
  <c r="W62" i="15"/>
  <c r="A75" i="15" l="1"/>
  <c r="E62" i="15"/>
  <c r="I62" i="15" s="1"/>
  <c r="B63" i="15"/>
  <c r="E65" i="15"/>
  <c r="I65" i="15" s="1"/>
  <c r="B65" i="15" a="1"/>
  <c r="B65" i="15" s="1"/>
  <c r="B68" i="15" s="1"/>
  <c r="F65" i="15" l="1"/>
  <c r="R11" i="14"/>
  <c r="E66" i="15"/>
  <c r="I66" i="15" s="1"/>
  <c r="E63" i="15"/>
  <c r="F63" i="15" s="1"/>
  <c r="B66" i="15" a="1"/>
  <c r="B66" i="15" s="1"/>
  <c r="F62" i="15"/>
  <c r="K62" i="15"/>
  <c r="M62" i="15"/>
  <c r="B69" i="15" l="1"/>
  <c r="R13" i="14" s="1"/>
  <c r="I63" i="15"/>
  <c r="M63" i="15" s="1"/>
  <c r="A73" i="15" s="1"/>
  <c r="F66" i="15"/>
  <c r="K63" i="15" l="1"/>
  <c r="A74" i="15" l="1"/>
  <c r="A76" i="15"/>
  <c r="A72" i="15" l="1"/>
  <c r="M14"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<sst xmlns="http://schemas.openxmlformats.org/spreadsheetml/2006/main" count="354" uniqueCount="153">
  <si>
    <r>
      <t xml:space="preserve">The PIs under this theme have no targets:
</t>
    </r>
    <r>
      <rPr>
        <b/>
        <sz val="12"/>
        <color rgb="FF000000"/>
        <rFont val="Calibri"/>
        <family val="2"/>
      </rPr>
      <t>PI: Timeliness of information provided to road users through electronic signage
PI: Ride quality 
PI: Working with local highways authorities to review diversion routes for unplanned events.</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</si>
  <si>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</si>
  <si>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</si>
  <si>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</si>
  <si>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</si>
  <si>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</si>
  <si>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</si>
  <si>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</si>
  <si>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2023 to March 2024)</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</si>
  <si>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</si>
  <si>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</si>
  <si>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</si>
  <si>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</si>
  <si>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Transport Focus Strategic Road User Survey - 2022/23 summary report</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</si>
  <si>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</si>
  <si>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</si>
  <si>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</si>
  <si>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</si>
  <si>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 xml:space="preserve">Regional data for the period before 2020-21 was provided directly to ORR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</si>
  <si>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</si>
  <si>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</si>
  <si>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</si>
  <si>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</si>
  <si>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</si>
  <si>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</si>
  <si>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</si>
  <si>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t>Contact details</t>
  </si>
  <si>
    <t xml:space="preserve">highways.monitor@orr.gov.uk </t>
  </si>
  <si>
    <t xml:space="preserve">Notes </t>
  </si>
  <si>
    <t xml:space="preserve">This worksheet contain one table. </t>
  </si>
  <si>
    <t xml:space="preserve">Note number </t>
  </si>
  <si>
    <t xml:space="preserve">Note text </t>
  </si>
  <si>
    <t>Note 1</t>
  </si>
  <si>
    <t>Data for 2020-21 and 2021-22 is affected by reduced travel demand due to the impact of the pandemic.</t>
  </si>
  <si>
    <t>Note 2</t>
  </si>
  <si>
    <t xml:space="preserve">Note 3 </t>
  </si>
  <si>
    <t>For roadworks information timeliness and accuracy the metric only includes full carriageway or slip road closures.</t>
  </si>
  <si>
    <t>Note 4</t>
  </si>
  <si>
    <t>The calculations for the ride quality relate to lane 1 of the SRN and excludes roads contracted under a Design, Build, Finance, and Operate (DBFO) organisations.</t>
  </si>
  <si>
    <t>Table of contents</t>
  </si>
  <si>
    <t>This worksheet contains one table.</t>
  </si>
  <si>
    <t>Worksheet name</t>
  </si>
  <si>
    <t>Worksheet title</t>
  </si>
  <si>
    <t>Dashboard</t>
  </si>
  <si>
    <r>
      <rPr>
        <sz val="12"/>
        <color rgb="FF000000"/>
        <rFont val="Calibri"/>
        <family val="2"/>
        <scheme val="minor"/>
      </rPr>
      <t>Interactive dashboard for outcome area</t>
    </r>
    <r>
      <rPr>
        <b/>
        <sz val="12"/>
        <color rgb="FF000000"/>
        <rFont val="Calibri"/>
        <family val="2"/>
        <scheme val="minor"/>
      </rPr>
      <t>: Meeting the needs of all road users.</t>
    </r>
  </si>
  <si>
    <t>Table_5a</t>
  </si>
  <si>
    <r>
      <rPr>
        <b/>
        <sz val="12"/>
        <color rgb="FF000000"/>
        <rFont val="Calibri"/>
        <family val="2"/>
      </rPr>
      <t xml:space="preserve">Road user satisfaction: </t>
    </r>
    <r>
      <rPr>
        <sz val="12"/>
        <color rgb="FF000000"/>
        <rFont val="Calibri"/>
        <family val="2"/>
      </rPr>
      <t>The percentage of drivers who are satisfied with their journey on the strategic road network as measured by the Strategic Roads User Survey (SRUS) conducted by Transport Focus.</t>
    </r>
  </si>
  <si>
    <t>Table_5b</t>
  </si>
  <si>
    <r>
      <rPr>
        <b/>
        <sz val="12"/>
        <color rgb="FF000000"/>
        <rFont val="Calibri"/>
        <family val="2"/>
      </rPr>
      <t>Roadworks information timeliness and accuracy:</t>
    </r>
    <r>
      <rPr>
        <sz val="12"/>
        <color rgb="FF000000"/>
        <rFont val="Calibri"/>
        <family val="2"/>
      </rPr>
      <t xml:space="preserve"> The percentage of overnight road closures that are accurately notified by National Highways seven days in advance. A correctly notified road closure is one that commences within +/- 1 hour of the start time stated 7 days in advance on the Network Occupancy Management System (NOMS).</t>
    </r>
  </si>
  <si>
    <t>Table_5c</t>
  </si>
  <si>
    <r>
      <rPr>
        <b/>
        <sz val="12"/>
        <color rgb="FF000000"/>
        <rFont val="Calibri"/>
        <family val="2"/>
      </rPr>
      <t>Timeliness of information provided to road users through electronic signage:</t>
    </r>
    <r>
      <rPr>
        <sz val="12"/>
        <color rgb="FF000000"/>
        <rFont val="Calibri"/>
        <family val="2"/>
      </rPr>
      <t xml:space="preserve"> The average median time to set signs and signals on (all) motorways after National Highways has received notification of an incident, that requires signs and signals to be manually set.</t>
    </r>
  </si>
  <si>
    <t>Table_5d</t>
  </si>
  <si>
    <r>
      <rPr>
        <b/>
        <sz val="12"/>
        <color rgb="FF000000"/>
        <rFont val="Calibri"/>
        <family val="2"/>
      </rPr>
      <t>Ride quality:</t>
    </r>
    <r>
      <rPr>
        <sz val="12"/>
        <color rgb="FF000000"/>
        <rFont val="Calibri"/>
        <family val="2"/>
      </rPr>
      <t xml:space="preserve"> This measure reports the ride quality for the strategic road network using a subset of the pavement condition metric condition parameters. It is represented by the percentage of pavement asset delivering ride quality consistent with the 3m Enhanced Longitudinal Profile Variance (ELPV) value in National Highways, which is based on engineering factors and driver comfort.</t>
    </r>
  </si>
  <si>
    <t>Table_5e</t>
  </si>
  <si>
    <r>
      <rPr>
        <b/>
        <sz val="12"/>
        <color rgb="FF000000"/>
        <rFont val="Calibri"/>
        <family val="2"/>
      </rPr>
      <t>Working with local highways authorities to review diversion routes for unplanned events:</t>
    </r>
    <r>
      <rPr>
        <sz val="12"/>
        <color rgb="FF000000"/>
        <rFont val="Calibri"/>
        <family val="2"/>
      </rPr>
      <t xml:space="preserve"> the percentage of local highway authorities which National Highways engaged with to review diversion routes for unplanned 
events.</t>
    </r>
  </si>
  <si>
    <t xml:space="preserve">Meeting the needs of all road users, </t>
  </si>
  <si>
    <t>Strategic Road Network in England</t>
  </si>
  <si>
    <t>See how National Highways’ performance is changing over time and across its regions.</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</si>
  <si>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</si>
  <si>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t xml:space="preserve">KPIs and PIs </t>
  </si>
  <si>
    <r>
      <t xml:space="preserve">Financial year </t>
    </r>
    <r>
      <rPr>
        <sz val="10"/>
        <color rgb="FF333333"/>
        <rFont val="Arial"/>
        <family val="2"/>
      </rPr>
      <t>(hold ctrl/command to select multiple years)</t>
    </r>
  </si>
  <si>
    <t>Some shorthand is used in this table, [x] = Data not available, [b] = break in time series.</t>
  </si>
  <si>
    <r>
      <rPr>
        <b/>
        <sz val="12"/>
        <color rgb="FFFF0000"/>
        <rFont val="Calibri"/>
        <family val="2"/>
      </rPr>
      <t xml:space="preserve">National-level target: </t>
    </r>
    <r>
      <rPr>
        <sz val="12"/>
        <color rgb="FFFF0000"/>
        <rFont val="Calibri"/>
        <family val="2"/>
      </rPr>
      <t>achieve a 73.0% road user satisfaction score in 2023-24.</t>
    </r>
  </si>
  <si>
    <t>Time period</t>
  </si>
  <si>
    <t>Yorkshire and North East
 (percentage satisfied)</t>
  </si>
  <si>
    <t>North West
 (percentage satisfied)</t>
  </si>
  <si>
    <t>Midlands
 (percentage satisfied)</t>
  </si>
  <si>
    <t>East
 (percentage satisfied)</t>
  </si>
  <si>
    <t>South East
 (percentage satisfied)</t>
  </si>
  <si>
    <t>South West
(percentage)</t>
  </si>
  <si>
    <t>April 2015 to March 2016</t>
  </si>
  <si>
    <t>April 2016 to March 2017</t>
  </si>
  <si>
    <t>April 2017 to March 2018</t>
  </si>
  <si>
    <t>April 2018 to March 2019</t>
  </si>
  <si>
    <t>April 2019 to March 2020</t>
  </si>
  <si>
    <t>April 2020 to March 2021  [Note 2] [b]</t>
  </si>
  <si>
    <t>[x]</t>
  </si>
  <si>
    <t>April 2021 to March 2022</t>
  </si>
  <si>
    <t>April 2022 to March 2023</t>
  </si>
  <si>
    <t>April 2023 to March 2024</t>
  </si>
  <si>
    <r>
      <rPr>
        <b/>
        <sz val="12"/>
        <color rgb="FFFF0000"/>
        <rFont val="Calibri"/>
        <family val="2"/>
      </rPr>
      <t>National-level target for road period 2</t>
    </r>
    <r>
      <rPr>
        <sz val="12"/>
        <color rgb="FFFF0000"/>
        <rFont val="Calibri"/>
        <family val="2"/>
      </rPr>
      <t>: 90% by the end of 2025.</t>
    </r>
  </si>
  <si>
    <t>National Highways
 (percentage)</t>
  </si>
  <si>
    <t>Yorkshire and North East
(percentage)</t>
  </si>
  <si>
    <t>North West
(percentage)</t>
  </si>
  <si>
    <t>Midlands
(percentage)</t>
  </si>
  <si>
    <t>East
(percentage)</t>
  </si>
  <si>
    <t>South East
(percentage)</t>
  </si>
  <si>
    <t>April 2020 to March 2021 [Note 1]</t>
  </si>
  <si>
    <t>Yorkshire and North East
(mm:ss)</t>
  </si>
  <si>
    <t>North West
(mm:ss)</t>
  </si>
  <si>
    <t>Midlands
(mm:ss)</t>
  </si>
  <si>
    <t>East
(mm:ss)</t>
  </si>
  <si>
    <t>South East
(mm:ss)</t>
  </si>
  <si>
    <t>South West
(mm:ss)</t>
  </si>
  <si>
    <t>April 2020 to March 2021</t>
  </si>
  <si>
    <t>April 2021 to March 2022 [p]</t>
  </si>
  <si>
    <t>Table</t>
  </si>
  <si>
    <t>Time frame</t>
  </si>
  <si>
    <t>Year</t>
  </si>
  <si>
    <t>KPI</t>
  </si>
  <si>
    <t>National Highways</t>
  </si>
  <si>
    <t>Yorkshire and North East</t>
  </si>
  <si>
    <t xml:space="preserve">North West
</t>
  </si>
  <si>
    <t xml:space="preserve">Midlands
</t>
  </si>
  <si>
    <t xml:space="preserve">East
</t>
  </si>
  <si>
    <t xml:space="preserve">South East
</t>
  </si>
  <si>
    <t xml:space="preserve">South West
</t>
  </si>
  <si>
    <t>Road user satisfaction</t>
  </si>
  <si>
    <t>Roadworks information timeliness and accuracy</t>
  </si>
  <si>
    <t>Timeliness of information provided to road users through electronic signage</t>
  </si>
  <si>
    <t>Ride Quality</t>
  </si>
  <si>
    <t>Working with local highways authorities to review diversion routes for unplanned events</t>
  </si>
  <si>
    <t>CHARTS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</si>
  <si>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</si>
  <si>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</si>
  <si>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</si>
  <si>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</si>
  <si>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</si>
  <si>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</si>
  <si>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</si>
  <si>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2022-23</t>
  </si>
  <si>
    <t>2023-24</t>
  </si>
  <si>
    <t>Max of Yorkshire and North East</t>
  </si>
  <si>
    <t>Max of North West</t>
  </si>
  <si>
    <t xml:space="preserve">   </t>
  </si>
  <si>
    <t>Latest year</t>
  </si>
  <si>
    <t>compared to NH</t>
  </si>
  <si>
    <t>max</t>
  </si>
  <si>
    <t>Absolute value</t>
  </si>
  <si>
    <t>min</t>
  </si>
  <si>
    <t>Best performing</t>
  </si>
  <si>
    <t>Worst performing</t>
  </si>
  <si>
    <r>
      <t xml:space="preserve">This data table was initially published </t>
    </r>
    <r>
      <rPr>
        <b/>
        <sz val="12"/>
        <color rgb="FF000000"/>
        <rFont val="Calibri"/>
        <family val="2"/>
      </rPr>
      <t>July 2024</t>
    </r>
  </si>
  <si>
    <r>
      <t>The next publication date is scheduled for</t>
    </r>
    <r>
      <rPr>
        <b/>
        <sz val="12"/>
        <color rgb="FF000000"/>
        <rFont val="Calibri"/>
        <family val="2"/>
      </rPr>
      <t xml:space="preserve"> July 2025</t>
    </r>
  </si>
  <si>
    <t>Media enquiries: 020 7282 3737</t>
  </si>
  <si>
    <t>South West
(percentage satisfied)</t>
  </si>
  <si>
    <t>Table 5: Meeting the needs of all road users, England's strategic road network, April 2020 to March 2024</t>
  </si>
  <si>
    <t>Road user satisfaction KPI - due to the social distancing restrictions no data was available during 2020-21. The Strategic Roads User Survey (SRUS) replaced the National Road Users' Satisfaction Survey (NRUSS) in 2021-22. As a result, figures for road period 1 and road period 2 are not directly comparable.</t>
  </si>
  <si>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t>
    </r>
    <r>
      <rPr>
        <b/>
        <sz val="12"/>
        <color rgb="FF000000"/>
        <rFont val="Calibri"/>
      </rPr>
      <t>PS5: Meeting the needs of all road users</t>
    </r>
    <r>
      <rPr>
        <sz val="12"/>
        <color rgb="FF000000"/>
        <rFont val="Calibri"/>
      </rPr>
      <t xml:space="preserve">. The KPIs under this theme are:
</t>
    </r>
    <r>
      <rPr>
        <b/>
        <sz val="12"/>
        <color rgb="FF000000"/>
        <rFont val="Calibri"/>
      </rPr>
      <t xml:space="preserve">KPI: Road user satisfaction (National-level target: achieve a 73.0% road user satisfaction score in 2023-24. Currently no target has been set for 2024-25)
KPI: Roadworks information timeliness and accuracy (National-level target for road period 2: 90% by the end of March 2025)
</t>
    </r>
    <r>
      <rPr>
        <sz val="12"/>
        <color rgb="FF000000"/>
        <rFont val="Calibri"/>
      </rPr>
      <t xml:space="preserve">From April 2020, the Strategic Roads User Survey (SRUS) has moved to online data collection, rather than face-to-face interview. Due to this change in methodology, as well as interruptions to travel behaviours due to the pandemic, the road user satisfaction KPI (Table 5a) was temporarily suspended to account for decreases in the overall satisfaction levels caused by reduced responses and methodology. </t>
    </r>
  </si>
  <si>
    <t>Regional comparison</t>
  </si>
  <si>
    <t>Table 5a:  Road user satisfaction by region, England's strategic road network, annual data, April 2015 to March 2024 [Note 2]</t>
  </si>
  <si>
    <t>England's strategic road network
 (percentage satisfied)</t>
  </si>
  <si>
    <t>Table 5b: Roadworks information timeliness and accuracy by region, England's strategic road network, annual data, April 2020 to March 2024 [Note 3]</t>
  </si>
  <si>
    <t>England's strategic road network
 (percentage)</t>
  </si>
  <si>
    <t>Table 5c: Timeliness of information provided to road users through electronic signage by region, England's strategic road network, annual data, April 2020 to March 2024</t>
  </si>
  <si>
    <t>England's strategic road network
 (mm:ss)</t>
  </si>
  <si>
    <t xml:space="preserve">Table 5d: Ride quality by region, England's strategic road network, annual data, April 2020 to March 2024 [Note 4] </t>
  </si>
  <si>
    <t xml:space="preserve">Table 5e: Working with local highways authorities to review diversion routes for unplanned events by region, England's strategic road network, annual data, April 2020 to March 2024 </t>
  </si>
  <si>
    <t>2015-16</t>
  </si>
  <si>
    <t>2016-17</t>
  </si>
  <si>
    <t>2017-18</t>
  </si>
  <si>
    <t>2018-19</t>
  </si>
  <si>
    <t>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</si>
</sst>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1">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 numFmtId="219" formatCode="0.000000"/>
    <numFmt numFmtId="220" formatCode="hh:mm:ss;@"/>
    <numFmt numFmtId="221" formatCode="m:ss.00"/>
  </numFmts>
  <fonts count="203">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sz val="12"/>
      <color rgb="FFFF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color theme="0"/>
      <name val="Calibri"/>
      <family val="2"/>
    </font>
    <font>
      <sz val="12"/>
      <name val="Calibri"/>
      <family val="2"/>
      <scheme val="minor"/>
    </font>
    <font>
      <sz val="12"/>
      <color rgb="FF000000"/>
      <name val="Calibri"/>
      <family val="2"/>
      <scheme val="minor"/>
    </font>
    <font>
      <b/>
      <sz val="12"/>
      <name val="Calibri"/>
      <family val="2"/>
    </font>
    <font>
      <b/>
      <sz val="14"/>
      <name val="Calibri"/>
      <family val="2"/>
    </font>
    <font>
      <sz val="12"/>
      <name val="Calibri"/>
      <family val="2"/>
    </font>
    <font>
      <b/>
      <sz val="12"/>
      <color rgb="FFFF0000"/>
      <name val="Calibri"/>
      <family val="2"/>
    </font>
    <font>
      <sz val="8"/>
      <name val="Calibri"/>
      <family val="2"/>
    </font>
    <font>
      <sz val="12"/>
      <color rgb="FF333333"/>
      <name val="Georgia"/>
      <family val="1"/>
    </font>
    <font>
      <sz val="11"/>
      <color rgb="FF000000"/>
      <name val="Georgia"/>
      <family val="1"/>
    </font>
    <font>
      <sz val="11"/>
      <color rgb="FF2941C5"/>
      <name val="Georgia Pro Black"/>
      <family val="1"/>
    </font>
    <font>
      <sz val="11"/>
      <color rgb="FF253268"/>
      <name val="Georgia Pro Black"/>
      <family val="1"/>
    </font>
    <font>
      <sz val="11"/>
      <color rgb="FF253268"/>
      <name val="Arial"/>
      <family val="2"/>
    </font>
    <font>
      <b/>
      <sz val="11"/>
      <color rgb="FF253268"/>
      <name val="Arial"/>
      <family val="2"/>
    </font>
    <font>
      <b/>
      <sz val="12"/>
      <color rgb="FF000000"/>
      <name val="Arial"/>
      <family val="2"/>
    </font>
    <font>
      <b/>
      <u/>
      <sz val="12"/>
      <name val="Arial"/>
      <family val="2"/>
    </font>
    <font>
      <b/>
      <u/>
      <sz val="13"/>
      <name val="Georgia"/>
      <family val="1"/>
    </font>
    <font>
      <sz val="13"/>
      <name val="Georgia"/>
      <family val="1"/>
    </font>
    <font>
      <sz val="12"/>
      <name val="Georgia"/>
      <family val="1"/>
    </font>
    <font>
      <sz val="13"/>
      <color rgb="FF333333"/>
      <name val="Arial"/>
      <family val="2"/>
    </font>
    <font>
      <sz val="10"/>
      <color rgb="FF333333"/>
      <name val="Arial"/>
      <family val="2"/>
    </font>
    <font>
      <sz val="13"/>
      <color rgb="FF333333"/>
      <name val="Georgia"/>
      <family val="1"/>
    </font>
    <font>
      <sz val="15"/>
      <color rgb="FF000000"/>
      <name val="Georgia"/>
      <family val="1"/>
    </font>
    <font>
      <sz val="12"/>
      <color rgb="FF000000"/>
      <name val="Arial"/>
      <family val="2"/>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b/>
      <sz val="11"/>
      <name val="Calibri"/>
      <family val="2"/>
    </font>
    <font>
      <b/>
      <sz val="11"/>
      <color rgb="FF000000"/>
      <name val="Calibri"/>
      <family val="2"/>
    </font>
    <font>
      <sz val="10"/>
      <color rgb="FF000000"/>
      <name val="Calibri"/>
      <family val="2"/>
    </font>
    <font>
      <b/>
      <sz val="10"/>
      <color theme="0"/>
      <name val="Calibri"/>
      <family val="2"/>
    </font>
    <font>
      <sz val="11"/>
      <color theme="0" tint="-0.14999847407452621"/>
      <name val="Calibri"/>
      <family val="2"/>
    </font>
    <font>
      <b/>
      <sz val="12"/>
      <color rgb="FF000000"/>
      <name val="Calibri"/>
      <family val="2"/>
      <scheme val="minor"/>
    </font>
    <font>
      <sz val="12"/>
      <color theme="1"/>
      <name val="Calibri"/>
      <family val="2"/>
    </font>
    <font>
      <sz val="12"/>
      <color rgb="FF000000"/>
      <name val="Calibri"/>
    </font>
    <font>
      <b/>
      <sz val="12"/>
      <color rgb="FF000000"/>
      <name val="Calibri"/>
    </font>
    <font>
      <sz val="11"/>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0"/>
        <bgColor indexed="64"/>
      </patternFill>
    </fill>
    <fill>
      <patternFill patternType="solid">
        <fgColor rgb="FFFFFF00"/>
        <bgColor indexed="64"/>
      </patternFill>
    </fill>
    <fill>
      <patternFill patternType="solid">
        <fgColor theme="4"/>
        <bgColor theme="4"/>
      </patternFill>
    </fill>
  </fills>
  <borders count="64">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ck">
        <color indexed="64"/>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3" fillId="0" borderId="0" applyNumberFormat="0" applyFill="0" applyBorder="0" applyAlignment="0" applyProtection="0"/>
    <xf numFmtId="0" fontId="14" fillId="0" borderId="0"/>
    <xf numFmtId="43" fontId="1"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0" fillId="0" borderId="0"/>
    <xf numFmtId="0" fontId="20" fillId="0" borderId="0"/>
    <xf numFmtId="0" fontId="20" fillId="0" borderId="0"/>
    <xf numFmtId="0" fontId="20" fillId="0" borderId="0"/>
    <xf numFmtId="0" fontId="21" fillId="0" borderId="11" applyNumberFormat="0" applyFill="0" applyProtection="0">
      <alignment horizontal="center"/>
    </xf>
    <xf numFmtId="165" fontId="20" fillId="0" borderId="0" applyFont="0" applyFill="0" applyBorder="0" applyProtection="0">
      <alignment horizontal="right"/>
    </xf>
    <xf numFmtId="165" fontId="20" fillId="0" borderId="0" applyFont="0" applyFill="0" applyBorder="0" applyProtection="0">
      <alignment horizontal="right"/>
    </xf>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167" fontId="20" fillId="0" borderId="0" applyFont="0" applyFill="0" applyBorder="0" applyProtection="0">
      <alignment horizontal="right"/>
    </xf>
    <xf numFmtId="167" fontId="20" fillId="0" borderId="0" applyFont="0" applyFill="0" applyBorder="0" applyProtection="0">
      <alignment horizontal="right"/>
    </xf>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178" fontId="20" fillId="0" borderId="0" applyBorder="0"/>
    <xf numFmtId="0" fontId="40" fillId="51" borderId="12" applyNumberFormat="0" applyAlignment="0" applyProtection="0"/>
    <xf numFmtId="0" fontId="41" fillId="52" borderId="13" applyNumberFormat="0" applyAlignment="0" applyProtection="0"/>
    <xf numFmtId="167" fontId="22" fillId="0" borderId="0" applyFont="0" applyFill="0" applyBorder="0" applyProtection="0">
      <alignment horizontal="right"/>
    </xf>
    <xf numFmtId="169" fontId="22" fillId="0" borderId="0" applyFont="0" applyFill="0" applyBorder="0" applyProtection="0">
      <alignment horizontal="left"/>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4" fillId="0" borderId="14" applyNumberFormat="0" applyBorder="0" applyAlignment="0" applyProtection="0">
      <alignment horizontal="right" vertical="center"/>
    </xf>
    <xf numFmtId="179" fontId="20" fillId="0" borderId="0" applyFont="0" applyFill="0" applyBorder="0" applyAlignment="0" applyProtection="0"/>
    <xf numFmtId="0" fontId="42" fillId="0" borderId="0" applyNumberFormat="0" applyFill="0" applyBorder="0" applyAlignment="0" applyProtection="0"/>
    <xf numFmtId="0" fontId="55" fillId="0" borderId="0">
      <alignment horizontal="right"/>
      <protection locked="0"/>
    </xf>
    <xf numFmtId="0" fontId="23" fillId="0" borderId="0">
      <alignment horizontal="left"/>
    </xf>
    <xf numFmtId="0" fontId="24"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43" fillId="34" borderId="0" applyNumberFormat="0" applyBorder="0" applyAlignment="0" applyProtection="0"/>
    <xf numFmtId="38" fontId="15" fillId="53" borderId="0" applyNumberFormat="0" applyBorder="0" applyAlignment="0" applyProtection="0"/>
    <xf numFmtId="0" fontId="25" fillId="54" borderId="15" applyProtection="0">
      <alignment horizontal="right"/>
    </xf>
    <xf numFmtId="0" fontId="26" fillId="54" borderId="0" applyProtection="0">
      <alignment horizontal="left"/>
    </xf>
    <xf numFmtId="0" fontId="44" fillId="0" borderId="16" applyNumberFormat="0" applyFill="0" applyAlignment="0" applyProtection="0"/>
    <xf numFmtId="0" fontId="56" fillId="0" borderId="0">
      <alignment vertical="top" wrapText="1"/>
    </xf>
    <xf numFmtId="0" fontId="56" fillId="0" borderId="0">
      <alignment vertical="top" wrapText="1"/>
    </xf>
    <xf numFmtId="0" fontId="56" fillId="0" borderId="0">
      <alignment vertical="top" wrapText="1"/>
    </xf>
    <xf numFmtId="0" fontId="56" fillId="0" borderId="0">
      <alignment vertical="top" wrapText="1"/>
    </xf>
    <xf numFmtId="0" fontId="45" fillId="0" borderId="17" applyNumberFormat="0" applyFill="0" applyAlignment="0" applyProtection="0"/>
    <xf numFmtId="170" fontId="57" fillId="0" borderId="0" applyNumberFormat="0" applyFill="0" applyAlignment="0" applyProtection="0"/>
    <xf numFmtId="0" fontId="46" fillId="0" borderId="18" applyNumberFormat="0" applyFill="0" applyAlignment="0" applyProtection="0"/>
    <xf numFmtId="170" fontId="58" fillId="0" borderId="0" applyNumberFormat="0" applyFill="0" applyAlignment="0" applyProtection="0"/>
    <xf numFmtId="0" fontId="46" fillId="0" borderId="0" applyNumberFormat="0" applyFill="0" applyBorder="0" applyAlignment="0" applyProtection="0"/>
    <xf numFmtId="170" fontId="59"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7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9" fillId="0" borderId="0" applyFill="0" applyBorder="0" applyProtection="0">
      <alignment horizontal="left"/>
    </xf>
    <xf numFmtId="10" fontId="15" fillId="55" borderId="9" applyNumberFormat="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25" fillId="0" borderId="19" applyProtection="0">
      <alignment horizontal="right"/>
    </xf>
    <xf numFmtId="0" fontId="25" fillId="0" borderId="15" applyProtection="0">
      <alignment horizontal="right"/>
    </xf>
    <xf numFmtId="0" fontId="25" fillId="0" borderId="20" applyProtection="0">
      <alignment horizontal="center"/>
      <protection locked="0"/>
    </xf>
    <xf numFmtId="0" fontId="48" fillId="0" borderId="21"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49" fillId="44"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56" borderId="22" applyNumberFormat="0" applyFont="0" applyAlignment="0" applyProtection="0"/>
    <xf numFmtId="0" fontId="50" fillId="51" borderId="23" applyNumberFormat="0" applyAlignment="0" applyProtection="0"/>
    <xf numFmtId="40" fontId="62" fillId="57" borderId="0">
      <alignment horizontal="right"/>
    </xf>
    <xf numFmtId="0" fontId="63" fillId="57" borderId="0">
      <alignment horizontal="right"/>
    </xf>
    <xf numFmtId="0" fontId="64" fillId="57" borderId="24"/>
    <xf numFmtId="0" fontId="64" fillId="0" borderId="0" applyBorder="0">
      <alignment horizontal="centerContinuous"/>
    </xf>
    <xf numFmtId="0" fontId="65" fillId="0" borderId="0" applyBorder="0">
      <alignment horizontal="centerContinuous"/>
    </xf>
    <xf numFmtId="171" fontId="20" fillId="0" borderId="0" applyFont="0" applyFill="0" applyBorder="0" applyProtection="0">
      <alignment horizontal="right"/>
    </xf>
    <xf numFmtId="171"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0"/>
    <xf numFmtId="2" fontId="66" fillId="58" borderId="10" applyAlignment="0" applyProtection="0">
      <protection locked="0"/>
    </xf>
    <xf numFmtId="0" fontId="67" fillId="55" borderId="10" applyNumberFormat="0" applyAlignment="0" applyProtection="0"/>
    <xf numFmtId="0" fontId="68" fillId="59" borderId="9" applyNumberFormat="0" applyAlignment="0" applyProtection="0">
      <alignment horizontal="center" vertical="center"/>
    </xf>
    <xf numFmtId="4" fontId="30" fillId="60" borderId="23" applyNumberFormat="0" applyProtection="0">
      <alignment vertical="center"/>
    </xf>
    <xf numFmtId="4" fontId="69" fillId="60" borderId="23" applyNumberFormat="0" applyProtection="0">
      <alignment vertical="center"/>
    </xf>
    <xf numFmtId="4" fontId="30" fillId="60" borderId="23" applyNumberFormat="0" applyProtection="0">
      <alignment horizontal="left" vertical="center" indent="1"/>
    </xf>
    <xf numFmtId="4" fontId="30" fillId="60" borderId="23" applyNumberFormat="0" applyProtection="0">
      <alignment horizontal="left" vertical="center" indent="1"/>
    </xf>
    <xf numFmtId="0" fontId="20" fillId="61" borderId="23" applyNumberFormat="0" applyProtection="0">
      <alignment horizontal="left" vertical="center" indent="1"/>
    </xf>
    <xf numFmtId="4" fontId="30" fillId="62" borderId="23" applyNumberFormat="0" applyProtection="0">
      <alignment horizontal="right" vertical="center"/>
    </xf>
    <xf numFmtId="4" fontId="30" fillId="63" borderId="23" applyNumberFormat="0" applyProtection="0">
      <alignment horizontal="right" vertical="center"/>
    </xf>
    <xf numFmtId="4" fontId="30" fillId="64" borderId="23" applyNumberFormat="0" applyProtection="0">
      <alignment horizontal="right" vertical="center"/>
    </xf>
    <xf numFmtId="4" fontId="30" fillId="65" borderId="23" applyNumberFormat="0" applyProtection="0">
      <alignment horizontal="right" vertical="center"/>
    </xf>
    <xf numFmtId="4" fontId="30" fillId="66" borderId="23" applyNumberFormat="0" applyProtection="0">
      <alignment horizontal="right" vertical="center"/>
    </xf>
    <xf numFmtId="4" fontId="30" fillId="67" borderId="23" applyNumberFormat="0" applyProtection="0">
      <alignment horizontal="right" vertical="center"/>
    </xf>
    <xf numFmtId="4" fontId="30" fillId="68" borderId="23" applyNumberFormat="0" applyProtection="0">
      <alignment horizontal="right" vertical="center"/>
    </xf>
    <xf numFmtId="4" fontId="30" fillId="69" borderId="23" applyNumberFormat="0" applyProtection="0">
      <alignment horizontal="right" vertical="center"/>
    </xf>
    <xf numFmtId="4" fontId="30" fillId="70" borderId="23" applyNumberFormat="0" applyProtection="0">
      <alignment horizontal="right" vertical="center"/>
    </xf>
    <xf numFmtId="4" fontId="70" fillId="71" borderId="23" applyNumberFormat="0" applyProtection="0">
      <alignment horizontal="left" vertical="center" indent="1"/>
    </xf>
    <xf numFmtId="4" fontId="30" fillId="72" borderId="25" applyNumberFormat="0" applyProtection="0">
      <alignment horizontal="left" vertical="center" indent="1"/>
    </xf>
    <xf numFmtId="4" fontId="71" fillId="73" borderId="0" applyNumberFormat="0" applyProtection="0">
      <alignment horizontal="left" vertical="center" indent="1"/>
    </xf>
    <xf numFmtId="0" fontId="20" fillId="61" borderId="23" applyNumberFormat="0" applyProtection="0">
      <alignment horizontal="left" vertical="center" indent="1"/>
    </xf>
    <xf numFmtId="4" fontId="30" fillId="72" borderId="23" applyNumberFormat="0" applyProtection="0">
      <alignment horizontal="left" vertical="center" indent="1"/>
    </xf>
    <xf numFmtId="4" fontId="30" fillId="74" borderId="23" applyNumberFormat="0" applyProtection="0">
      <alignment horizontal="left" vertical="center" indent="1"/>
    </xf>
    <xf numFmtId="0" fontId="20" fillId="74" borderId="23" applyNumberFormat="0" applyProtection="0">
      <alignment horizontal="left" vertical="center" indent="1"/>
    </xf>
    <xf numFmtId="0" fontId="20" fillId="74" borderId="23" applyNumberFormat="0" applyProtection="0">
      <alignment horizontal="left" vertical="center" indent="1"/>
    </xf>
    <xf numFmtId="0" fontId="20" fillId="59" borderId="23" applyNumberFormat="0" applyProtection="0">
      <alignment horizontal="left" vertical="center" indent="1"/>
    </xf>
    <xf numFmtId="0" fontId="20" fillId="59" borderId="23" applyNumberFormat="0" applyProtection="0">
      <alignment horizontal="left" vertical="center" indent="1"/>
    </xf>
    <xf numFmtId="0" fontId="20" fillId="53" borderId="23" applyNumberFormat="0" applyProtection="0">
      <alignment horizontal="left" vertical="center" indent="1"/>
    </xf>
    <xf numFmtId="0" fontId="20" fillId="53" borderId="23" applyNumberFormat="0" applyProtection="0">
      <alignment horizontal="left" vertical="center" indent="1"/>
    </xf>
    <xf numFmtId="0" fontId="20" fillId="61" borderId="23" applyNumberFormat="0" applyProtection="0">
      <alignment horizontal="left" vertical="center" indent="1"/>
    </xf>
    <xf numFmtId="0" fontId="20" fillId="61" borderId="23" applyNumberFormat="0" applyProtection="0">
      <alignment horizontal="left" vertical="center" indent="1"/>
    </xf>
    <xf numFmtId="4" fontId="30" fillId="55" borderId="23" applyNumberFormat="0" applyProtection="0">
      <alignment vertical="center"/>
    </xf>
    <xf numFmtId="4" fontId="69" fillId="55" borderId="23" applyNumberFormat="0" applyProtection="0">
      <alignment vertical="center"/>
    </xf>
    <xf numFmtId="4" fontId="30" fillId="55" borderId="23" applyNumberFormat="0" applyProtection="0">
      <alignment horizontal="left" vertical="center" indent="1"/>
    </xf>
    <xf numFmtId="4" fontId="30" fillId="55" borderId="23" applyNumberFormat="0" applyProtection="0">
      <alignment horizontal="left" vertical="center" indent="1"/>
    </xf>
    <xf numFmtId="4" fontId="30" fillId="72" borderId="23" applyNumberFormat="0" applyProtection="0">
      <alignment horizontal="right" vertical="center"/>
    </xf>
    <xf numFmtId="4" fontId="69" fillId="72" borderId="23" applyNumberFormat="0" applyProtection="0">
      <alignment horizontal="right" vertical="center"/>
    </xf>
    <xf numFmtId="0" fontId="20" fillId="61" borderId="23" applyNumberFormat="0" applyProtection="0">
      <alignment horizontal="left" vertical="center" indent="1"/>
    </xf>
    <xf numFmtId="0" fontId="20" fillId="61" borderId="23" applyNumberFormat="0" applyProtection="0">
      <alignment horizontal="left" vertical="center" indent="1"/>
    </xf>
    <xf numFmtId="0" fontId="72" fillId="0" borderId="0"/>
    <xf numFmtId="4" fontId="73" fillId="72" borderId="23" applyNumberFormat="0" applyProtection="0">
      <alignment horizontal="right" vertical="center"/>
    </xf>
    <xf numFmtId="0" fontId="20" fillId="0" borderId="0"/>
    <xf numFmtId="0" fontId="31" fillId="57" borderId="8">
      <alignment horizontal="center"/>
    </xf>
    <xf numFmtId="3" fontId="32" fillId="57" borderId="0"/>
    <xf numFmtId="3" fontId="31" fillId="57" borderId="0"/>
    <xf numFmtId="0" fontId="32" fillId="57" borderId="0"/>
    <xf numFmtId="0" fontId="31" fillId="57" borderId="0"/>
    <xf numFmtId="0" fontId="32" fillId="57" borderId="0">
      <alignment horizontal="center"/>
    </xf>
    <xf numFmtId="0" fontId="33" fillId="0" borderId="0">
      <alignment wrapText="1"/>
    </xf>
    <xf numFmtId="0" fontId="33" fillId="0" borderId="0">
      <alignment wrapText="1"/>
    </xf>
    <xf numFmtId="0" fontId="33" fillId="0" borderId="0">
      <alignment wrapText="1"/>
    </xf>
    <xf numFmtId="0" fontId="33" fillId="0" borderId="0">
      <alignment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7" fillId="0" borderId="0"/>
    <xf numFmtId="0" fontId="37" fillId="0" borderId="0"/>
    <xf numFmtId="0" fontId="37" fillId="0" borderId="0"/>
    <xf numFmtId="172" fontId="15" fillId="0" borderId="0">
      <alignment wrapText="1"/>
      <protection locked="0"/>
    </xf>
    <xf numFmtId="172" fontId="15" fillId="0"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15" fillId="0" borderId="0">
      <alignment wrapText="1"/>
      <protection locked="0"/>
    </xf>
    <xf numFmtId="173" fontId="15" fillId="0" borderId="0">
      <alignment wrapText="1"/>
      <protection locked="0"/>
    </xf>
    <xf numFmtId="173" fontId="15" fillId="0" borderId="0">
      <alignment wrapText="1"/>
      <protection locked="0"/>
    </xf>
    <xf numFmtId="173" fontId="15" fillId="0"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15" fillId="0" borderId="0">
      <alignment wrapText="1"/>
      <protection locked="0"/>
    </xf>
    <xf numFmtId="174" fontId="15" fillId="0" borderId="0">
      <alignment wrapText="1"/>
      <protection locked="0"/>
    </xf>
    <xf numFmtId="174" fontId="15" fillId="0"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15" fillId="0" borderId="0">
      <alignment wrapText="1"/>
      <protection locked="0"/>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40" fontId="74" fillId="0" borderId="0"/>
    <xf numFmtId="0" fontId="51" fillId="0" borderId="0" applyNumberFormat="0" applyFill="0" applyBorder="0" applyAlignment="0" applyProtection="0"/>
    <xf numFmtId="0" fontId="75" fillId="0" borderId="0" applyNumberFormat="0" applyFill="0" applyBorder="0" applyProtection="0">
      <alignment horizontal="left" vertical="center" indent="10"/>
    </xf>
    <xf numFmtId="0" fontId="75" fillId="0" borderId="0" applyNumberFormat="0" applyFill="0" applyBorder="0" applyProtection="0">
      <alignment horizontal="left" vertical="center" indent="10"/>
    </xf>
    <xf numFmtId="0" fontId="52" fillId="0" borderId="28" applyNumberFormat="0" applyFill="0" applyAlignment="0" applyProtection="0"/>
    <xf numFmtId="0" fontId="53" fillId="0" borderId="0" applyNumberFormat="0" applyFill="0" applyBorder="0" applyAlignment="0" applyProtection="0"/>
    <xf numFmtId="0" fontId="1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82" fontId="20" fillId="0" borderId="0" applyNumberFormat="0" applyFont="0" applyBorder="0" applyAlignment="0">
      <alignment horizontal="right" indent="1"/>
    </xf>
    <xf numFmtId="182" fontId="20" fillId="0" borderId="0" applyNumberFormat="0" applyFont="0" applyBorder="0" applyAlignment="0">
      <alignment horizontal="right" indent="1"/>
    </xf>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20" fillId="79" borderId="32"/>
    <xf numFmtId="0" fontId="20" fillId="79" borderId="32"/>
    <xf numFmtId="0" fontId="20" fillId="79" borderId="32"/>
    <xf numFmtId="0" fontId="20" fillId="79" borderId="32"/>
    <xf numFmtId="0" fontId="20" fillId="79" borderId="32"/>
    <xf numFmtId="195" fontId="20" fillId="0" borderId="0">
      <protection locked="0"/>
    </xf>
    <xf numFmtId="195" fontId="20" fillId="0" borderId="33">
      <protection locked="0"/>
    </xf>
    <xf numFmtId="10" fontId="20" fillId="57" borderId="9">
      <alignment horizontal="right"/>
    </xf>
    <xf numFmtId="183" fontId="20" fillId="57" borderId="0"/>
    <xf numFmtId="182" fontId="20" fillId="0" borderId="10"/>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0" fontId="80" fillId="53" borderId="9" applyAlignment="0"/>
    <xf numFmtId="182" fontId="81" fillId="64" borderId="0"/>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82" fillId="60" borderId="9"/>
    <xf numFmtId="15" fontId="20" fillId="0" borderId="0"/>
    <xf numFmtId="15" fontId="20" fillId="0" borderId="0"/>
    <xf numFmtId="15" fontId="20" fillId="0" borderId="0"/>
    <xf numFmtId="15" fontId="20" fillId="0" borderId="0"/>
    <xf numFmtId="15" fontId="20" fillId="0" borderId="0"/>
    <xf numFmtId="15" fontId="20" fillId="0" borderId="0">
      <alignment horizontal="right" indent="1"/>
    </xf>
    <xf numFmtId="17" fontId="20" fillId="0" borderId="0">
      <alignment horizontal="right" indent="1"/>
    </xf>
    <xf numFmtId="194" fontId="20" fillId="0" borderId="0">
      <alignment horizontal="right" indent="1"/>
    </xf>
    <xf numFmtId="0" fontId="78" fillId="0" borderId="0" applyNumberFormat="0" applyFill="0" applyBorder="0" applyAlignment="0" applyProtection="0"/>
    <xf numFmtId="183" fontId="80" fillId="82" borderId="9">
      <alignment horizontal="center"/>
    </xf>
    <xf numFmtId="184" fontId="82" fillId="82" borderId="9"/>
    <xf numFmtId="187" fontId="80" fillId="70" borderId="9" applyNumberFormat="0" applyFont="0" applyBorder="0" applyAlignment="0"/>
    <xf numFmtId="40" fontId="84" fillId="55" borderId="0" applyNumberFormat="0" applyBorder="0" applyAlignment="0" applyProtection="0"/>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85" fillId="39" borderId="0" applyNumberFormat="0" applyBorder="0" applyAlignment="0" applyProtection="0"/>
    <xf numFmtId="0" fontId="85" fillId="39" borderId="0" applyNumberFormat="0" applyBorder="0" applyAlignment="0" applyProtection="0"/>
    <xf numFmtId="0" fontId="86" fillId="0" borderId="0">
      <alignment horizontal="left" vertical="top"/>
    </xf>
    <xf numFmtId="0" fontId="87" fillId="0" borderId="0">
      <alignment horizontal="left" vertical="top"/>
    </xf>
    <xf numFmtId="0" fontId="102" fillId="0" borderId="0"/>
    <xf numFmtId="0" fontId="103" fillId="0" borderId="0"/>
    <xf numFmtId="0" fontId="88" fillId="74" borderId="0" applyNumberFormat="0"/>
    <xf numFmtId="0" fontId="88" fillId="74" borderId="0" applyNumberFormat="0"/>
    <xf numFmtId="0" fontId="57" fillId="53" borderId="0"/>
    <xf numFmtId="0" fontId="57" fillId="53" borderId="0"/>
    <xf numFmtId="0" fontId="89" fillId="0" borderId="34"/>
    <xf numFmtId="0" fontId="89" fillId="0" borderId="34"/>
    <xf numFmtId="0" fontId="89" fillId="0" borderId="35"/>
    <xf numFmtId="0" fontId="89" fillId="0" borderId="35"/>
    <xf numFmtId="0" fontId="89" fillId="0" borderId="35"/>
    <xf numFmtId="0" fontId="89" fillId="0" borderId="35"/>
    <xf numFmtId="0" fontId="90" fillId="0" borderId="0"/>
    <xf numFmtId="0" fontId="91" fillId="0" borderId="0"/>
    <xf numFmtId="164" fontId="20" fillId="6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3" fontId="20" fillId="60" borderId="9">
      <protection locked="0"/>
    </xf>
    <xf numFmtId="0" fontId="92" fillId="0" borderId="0">
      <alignment horizontal="left"/>
    </xf>
    <xf numFmtId="188" fontId="20" fillId="80" borderId="9"/>
    <xf numFmtId="0" fontId="59" fillId="0" borderId="0">
      <alignment horizontal="left" indent="1"/>
    </xf>
    <xf numFmtId="0" fontId="59" fillId="0" borderId="0">
      <alignment horizontal="left" indent="1"/>
    </xf>
    <xf numFmtId="0" fontId="59" fillId="0" borderId="0">
      <alignment horizontal="left" indent="1"/>
    </xf>
    <xf numFmtId="184" fontId="83" fillId="58" borderId="9"/>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36" fillId="0" borderId="0">
      <alignment horizontal="right"/>
    </xf>
    <xf numFmtId="0" fontId="20" fillId="0" borderId="0"/>
    <xf numFmtId="0" fontId="20" fillId="0" borderId="0"/>
    <xf numFmtId="0" fontId="20" fillId="0" borderId="0"/>
    <xf numFmtId="0" fontId="20" fillId="0" borderId="0"/>
    <xf numFmtId="0" fontId="1" fillId="0" borderId="0"/>
    <xf numFmtId="0" fontId="105" fillId="0" borderId="0"/>
    <xf numFmtId="0" fontId="1" fillId="0" borderId="0"/>
    <xf numFmtId="0" fontId="20" fillId="60" borderId="0">
      <alignment horizontal="left" indent="1"/>
      <protection locked="0"/>
    </xf>
    <xf numFmtId="0" fontId="20" fillId="60" borderId="0">
      <alignment horizontal="left" indent="1"/>
      <protection locked="0"/>
    </xf>
    <xf numFmtId="0" fontId="93" fillId="42" borderId="36" applyNumberFormat="0" applyFont="0" applyAlignment="0" applyProtection="0"/>
    <xf numFmtId="0" fontId="93" fillId="42" borderId="36" applyNumberFormat="0" applyFont="0" applyAlignment="0" applyProtection="0"/>
    <xf numFmtId="0" fontId="15" fillId="0" borderId="0">
      <alignment horizontal="left" indent="1"/>
    </xf>
    <xf numFmtId="0" fontId="15" fillId="0" borderId="0">
      <alignment horizontal="left" indent="1"/>
    </xf>
    <xf numFmtId="0" fontId="15" fillId="0" borderId="0">
      <alignment horizontal="left" indent="1"/>
    </xf>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3" fontId="20" fillId="0" borderId="0">
      <alignment horizontal="right" indent="1"/>
    </xf>
    <xf numFmtId="166" fontId="20" fillId="0" borderId="0">
      <alignment horizontal="right" indent="1"/>
    </xf>
    <xf numFmtId="4" fontId="20" fillId="0" borderId="0">
      <alignment horizontal="right" indent="1"/>
    </xf>
    <xf numFmtId="182" fontId="20" fillId="0" borderId="0">
      <alignment horizontal="right" indent="1"/>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2" fontId="93" fillId="57" borderId="38" applyNumberFormat="0">
      <alignment vertical="center"/>
    </xf>
    <xf numFmtId="192" fontId="93" fillId="84" borderId="38" applyNumberFormat="0">
      <alignment vertical="center"/>
    </xf>
    <xf numFmtId="192" fontId="93" fillId="82" borderId="38" applyNumberFormat="0">
      <alignment vertical="center"/>
    </xf>
    <xf numFmtId="192" fontId="93" fillId="80" borderId="38" applyNumberFormat="0">
      <alignment vertical="center"/>
    </xf>
    <xf numFmtId="192" fontId="93" fillId="62" borderId="38" applyNumberFormat="0">
      <alignment vertical="center"/>
    </xf>
    <xf numFmtId="192" fontId="93" fillId="53" borderId="38" applyNumberFormat="0">
      <alignment vertical="center"/>
    </xf>
    <xf numFmtId="192" fontId="93" fillId="65" borderId="38" applyNumberFormat="0">
      <alignment vertical="center"/>
    </xf>
    <xf numFmtId="192" fontId="93" fillId="85" borderId="38" applyNumberFormat="0">
      <alignment vertical="center"/>
    </xf>
    <xf numFmtId="192" fontId="93" fillId="69" borderId="38" applyNumberFormat="0">
      <alignment vertical="center"/>
    </xf>
    <xf numFmtId="192" fontId="93" fillId="86" borderId="38" applyNumberFormat="0">
      <alignment vertical="center"/>
    </xf>
    <xf numFmtId="192" fontId="94" fillId="60" borderId="38">
      <protection locked="0"/>
    </xf>
    <xf numFmtId="192" fontId="94" fillId="58" borderId="38">
      <protection locked="0"/>
    </xf>
    <xf numFmtId="192" fontId="95" fillId="58" borderId="39" applyNumberFormat="0" applyFont="0" applyFill="0" applyAlignment="0" applyProtection="0">
      <protection locked="0"/>
    </xf>
    <xf numFmtId="192" fontId="36" fillId="0" borderId="0" applyNumberFormat="0" applyFill="0">
      <alignment horizontal="left" vertical="top"/>
    </xf>
    <xf numFmtId="192" fontId="36" fillId="0" borderId="0" applyNumberFormat="0" applyFill="0">
      <alignment horizontal="left" vertical="top"/>
    </xf>
    <xf numFmtId="192" fontId="36" fillId="0" borderId="0" applyNumberFormat="0" applyFill="0">
      <alignment horizontal="left" vertical="top"/>
    </xf>
    <xf numFmtId="0" fontId="96" fillId="67" borderId="0" applyNumberFormat="0">
      <alignment horizontal="left" vertical="center" indent="1"/>
    </xf>
    <xf numFmtId="0" fontId="88" fillId="74" borderId="0" applyNumberFormat="0">
      <alignment vertical="center"/>
    </xf>
    <xf numFmtId="0" fontId="57" fillId="53" borderId="0">
      <alignment vertical="center"/>
    </xf>
    <xf numFmtId="0" fontId="89" fillId="0" borderId="34">
      <alignment vertical="center"/>
    </xf>
    <xf numFmtId="190" fontId="20" fillId="57" borderId="0">
      <alignment horizontal="right"/>
    </xf>
    <xf numFmtId="0" fontId="50" fillId="81" borderId="23" applyNumberFormat="0" applyAlignment="0" applyProtection="0"/>
    <xf numFmtId="0" fontId="50" fillId="81" borderId="23" applyNumberFormat="0" applyAlignment="0" applyProtection="0"/>
    <xf numFmtId="191" fontId="30" fillId="81" borderId="0">
      <alignment horizontal="right"/>
    </xf>
    <xf numFmtId="0" fontId="97" fillId="87" borderId="0">
      <alignment horizontal="center"/>
    </xf>
    <xf numFmtId="0" fontId="81" fillId="88" borderId="0"/>
    <xf numFmtId="0" fontId="98" fillId="81" borderId="0" applyBorder="0">
      <alignment horizontal="centerContinuous"/>
    </xf>
    <xf numFmtId="0" fontId="99" fillId="88" borderId="0" applyBorder="0">
      <alignment horizontal="centerContinuous"/>
    </xf>
    <xf numFmtId="9" fontId="20" fillId="0" borderId="0">
      <alignment horizontal="right" indent="1"/>
    </xf>
    <xf numFmtId="164" fontId="20" fillId="0" borderId="0">
      <alignment horizontal="right" indent="1"/>
    </xf>
    <xf numFmtId="10" fontId="20" fillId="0" borderId="0">
      <alignment horizontal="right" indent="1"/>
    </xf>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53" borderId="0">
      <protection locked="0"/>
    </xf>
    <xf numFmtId="0" fontId="20" fillId="53" borderId="0">
      <protection locked="0"/>
    </xf>
    <xf numFmtId="0" fontId="20" fillId="53" borderId="0">
      <protection locked="0"/>
    </xf>
    <xf numFmtId="0" fontId="20" fillId="53" borderId="0">
      <protection locked="0"/>
    </xf>
    <xf numFmtId="0" fontId="20" fillId="53" borderId="0">
      <protection locked="0"/>
    </xf>
    <xf numFmtId="0" fontId="57" fillId="0" borderId="0">
      <alignment horizontal="left" indent="1"/>
    </xf>
    <xf numFmtId="0" fontId="77" fillId="0" borderId="0">
      <alignment horizontal="left" indent="1"/>
    </xf>
    <xf numFmtId="0" fontId="59" fillId="53" borderId="9">
      <alignment horizontal="center" vertical="center" wrapText="1"/>
    </xf>
    <xf numFmtId="0" fontId="100" fillId="89" borderId="29">
      <alignment vertical="top" wrapText="1"/>
    </xf>
    <xf numFmtId="164" fontId="20" fillId="72" borderId="9"/>
    <xf numFmtId="0" fontId="27" fillId="0" borderId="0">
      <alignment horizontal="left"/>
    </xf>
    <xf numFmtId="41" fontId="20" fillId="0" borderId="0" applyFont="0" applyFill="0" applyBorder="0" applyAlignment="0" applyProtection="0"/>
    <xf numFmtId="41" fontId="20" fillId="0" borderId="0" applyFont="0" applyFill="0" applyBorder="0" applyAlignment="0" applyProtection="0"/>
    <xf numFmtId="0" fontId="22" fillId="0" borderId="0">
      <alignment vertical="top"/>
    </xf>
    <xf numFmtId="191" fontId="80" fillId="80" borderId="40"/>
    <xf numFmtId="0" fontId="80" fillId="60" borderId="9"/>
    <xf numFmtId="0" fontId="101" fillId="0" borderId="0" applyNumberFormat="0" applyFill="0" applyBorder="0" applyAlignment="0" applyProtection="0"/>
    <xf numFmtId="0" fontId="101" fillId="0" borderId="0" applyNumberFormat="0" applyFill="0" applyBorder="0" applyAlignment="0" applyProtection="0"/>
    <xf numFmtId="0" fontId="52" fillId="0" borderId="41" applyNumberFormat="0" applyFill="0" applyAlignment="0" applyProtection="0"/>
    <xf numFmtId="0" fontId="52" fillId="0" borderId="41" applyNumberFormat="0" applyFill="0" applyAlignment="0" applyProtection="0"/>
    <xf numFmtId="184" fontId="80" fillId="80" borderId="9"/>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9"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9"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7" fillId="0" borderId="0"/>
    <xf numFmtId="0" fontId="20" fillId="0" borderId="0"/>
    <xf numFmtId="0" fontId="20" fillId="0" borderId="0"/>
    <xf numFmtId="0" fontId="104" fillId="0" borderId="0"/>
    <xf numFmtId="0" fontId="107" fillId="0" borderId="0"/>
    <xf numFmtId="0" fontId="107"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9" fillId="0" borderId="0"/>
    <xf numFmtId="0" fontId="104" fillId="0" borderId="0"/>
    <xf numFmtId="0" fontId="104"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04" fillId="0" borderId="0"/>
    <xf numFmtId="180" fontId="20" fillId="0" borderId="0"/>
    <xf numFmtId="180" fontId="20" fillId="0" borderId="0"/>
    <xf numFmtId="180" fontId="20" fillId="0" borderId="0"/>
    <xf numFmtId="180" fontId="20"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19"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108" fillId="11" borderId="0" applyNumberFormat="0" applyBorder="0" applyAlignment="0" applyProtection="0"/>
    <xf numFmtId="0" fontId="38" fillId="39" borderId="0" applyNumberFormat="0" applyBorder="0" applyAlignment="0" applyProtection="0"/>
    <xf numFmtId="0" fontId="108" fillId="15" borderId="0" applyNumberFormat="0" applyBorder="0" applyAlignment="0" applyProtection="0"/>
    <xf numFmtId="0" fontId="38" fillId="40" borderId="0" applyNumberFormat="0" applyBorder="0" applyAlignment="0" applyProtection="0"/>
    <xf numFmtId="0" fontId="108" fillId="19" borderId="0" applyNumberFormat="0" applyBorder="0" applyAlignment="0" applyProtection="0"/>
    <xf numFmtId="0" fontId="38" fillId="43" borderId="0" applyNumberFormat="0" applyBorder="0" applyAlignment="0" applyProtection="0"/>
    <xf numFmtId="0" fontId="108" fillId="23" borderId="0" applyNumberFormat="0" applyBorder="0" applyAlignment="0" applyProtection="0"/>
    <xf numFmtId="0" fontId="38" fillId="45" borderId="0" applyNumberFormat="0" applyBorder="0" applyAlignment="0" applyProtection="0"/>
    <xf numFmtId="0" fontId="108" fillId="27" borderId="0" applyNumberFormat="0" applyBorder="0" applyAlignment="0" applyProtection="0"/>
    <xf numFmtId="0" fontId="38" fillId="46" borderId="0" applyNumberFormat="0" applyBorder="0" applyAlignment="0" applyProtection="0"/>
    <xf numFmtId="0" fontId="108" fillId="31" borderId="0" applyNumberFormat="0" applyBorder="0" applyAlignment="0" applyProtection="0"/>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08" fillId="8" borderId="0" applyNumberFormat="0" applyBorder="0" applyAlignment="0" applyProtection="0"/>
    <xf numFmtId="0" fontId="38" fillId="48" borderId="0" applyNumberFormat="0" applyBorder="0" applyAlignment="0" applyProtection="0"/>
    <xf numFmtId="0" fontId="108" fillId="12" borderId="0" applyNumberFormat="0" applyBorder="0" applyAlignment="0" applyProtection="0"/>
    <xf numFmtId="0" fontId="38" fillId="49" borderId="0" applyNumberFormat="0" applyBorder="0" applyAlignment="0" applyProtection="0"/>
    <xf numFmtId="0" fontId="108" fillId="16" borderId="0" applyNumberFormat="0" applyBorder="0" applyAlignment="0" applyProtection="0"/>
    <xf numFmtId="0" fontId="38" fillId="43" borderId="0" applyNumberFormat="0" applyBorder="0" applyAlignment="0" applyProtection="0"/>
    <xf numFmtId="0" fontId="108" fillId="20" borderId="0" applyNumberFormat="0" applyBorder="0" applyAlignment="0" applyProtection="0"/>
    <xf numFmtId="0" fontId="38" fillId="45" borderId="0" applyNumberFormat="0" applyBorder="0" applyAlignment="0" applyProtection="0"/>
    <xf numFmtId="0" fontId="108" fillId="24" borderId="0" applyNumberFormat="0" applyBorder="0" applyAlignment="0" applyProtection="0"/>
    <xf numFmtId="0" fontId="38" fillId="50" borderId="0" applyNumberFormat="0" applyBorder="0" applyAlignment="0" applyProtection="0"/>
    <xf numFmtId="0" fontId="108" fillId="28"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0" fontId="109" fillId="3" borderId="0" applyNumberFormat="0" applyBorder="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1" fillId="52" borderId="13" applyNumberFormat="0" applyAlignment="0" applyProtection="0"/>
    <xf numFmtId="0" fontId="110" fillId="6" borderId="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6" fillId="0" borderId="0" applyFont="0" applyFill="0" applyBorder="0" applyAlignment="0" applyProtection="0"/>
    <xf numFmtId="43" fontId="104"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4" fillId="0" borderId="0" applyFont="0" applyFill="0" applyBorder="0" applyAlignment="0" applyProtection="0"/>
    <xf numFmtId="44" fontId="18" fillId="0" borderId="0" applyFon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43" fillId="34" borderId="0" applyNumberFormat="0" applyBorder="0" applyAlignment="0" applyProtection="0"/>
    <xf numFmtId="179" fontId="20" fillId="0" borderId="0" applyFon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43" fillId="34" borderId="0" applyNumberFormat="0" applyBorder="0" applyAlignment="0" applyProtection="0"/>
    <xf numFmtId="0" fontId="112" fillId="2" borderId="0" applyNumberFormat="0" applyBorder="0" applyAlignment="0" applyProtection="0"/>
    <xf numFmtId="0" fontId="44" fillId="0" borderId="16" applyNumberFormat="0" applyFill="0" applyAlignment="0" applyProtection="0"/>
    <xf numFmtId="0" fontId="113" fillId="0" borderId="30" applyNumberFormat="0" applyFill="0" applyAlignment="0" applyProtection="0"/>
    <xf numFmtId="0" fontId="45" fillId="0" borderId="17" applyNumberFormat="0" applyFill="0" applyAlignment="0" applyProtection="0"/>
    <xf numFmtId="0" fontId="114" fillId="0" borderId="31"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115" fillId="0" borderId="1"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8" fillId="0" borderId="21" applyNumberFormat="0" applyFill="0" applyAlignment="0" applyProtection="0"/>
    <xf numFmtId="0" fontId="41" fillId="52" borderId="13" applyNumberFormat="0" applyAlignment="0" applyProtection="0"/>
    <xf numFmtId="0" fontId="48" fillId="0" borderId="21" applyNumberFormat="0" applyFill="0" applyAlignment="0" applyProtection="0"/>
    <xf numFmtId="0" fontId="121" fillId="0" borderId="3"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9" fillId="44" borderId="0" applyNumberFormat="0" applyBorder="0" applyAlignment="0" applyProtection="0"/>
    <xf numFmtId="0" fontId="122" fillId="4" borderId="0" applyNumberFormat="0" applyBorder="0" applyAlignment="0" applyProtection="0"/>
    <xf numFmtId="0" fontId="49" fillId="4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104"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04"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7" fontId="19" fillId="0" borderId="0"/>
    <xf numFmtId="197" fontId="19" fillId="0" borderId="0"/>
    <xf numFmtId="0" fontId="104" fillId="0" borderId="0"/>
    <xf numFmtId="0" fontId="104"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9" fillId="0" borderId="0"/>
    <xf numFmtId="197" fontId="19" fillId="0" borderId="0"/>
    <xf numFmtId="0" fontId="104" fillId="0" borderId="0"/>
    <xf numFmtId="0" fontId="1" fillId="0" borderId="0"/>
    <xf numFmtId="0" fontId="19" fillId="0" borderId="0"/>
    <xf numFmtId="196" fontId="19" fillId="0" borderId="0"/>
    <xf numFmtId="0" fontId="18"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0" fontId="123" fillId="0" borderId="0"/>
    <xf numFmtId="0" fontId="20" fillId="0" borderId="0"/>
    <xf numFmtId="0" fontId="1" fillId="0" borderId="0"/>
    <xf numFmtId="0" fontId="18" fillId="0" borderId="0"/>
    <xf numFmtId="0" fontId="20" fillId="0" borderId="0"/>
    <xf numFmtId="196" fontId="20" fillId="0" borderId="0"/>
    <xf numFmtId="0" fontId="1" fillId="0" borderId="0"/>
    <xf numFmtId="0" fontId="1" fillId="0" borderId="0"/>
    <xf numFmtId="0" fontId="1" fillId="0" borderId="0"/>
    <xf numFmtId="0" fontId="123" fillId="0" borderId="0"/>
    <xf numFmtId="196" fontId="20" fillId="0" borderId="0"/>
    <xf numFmtId="196" fontId="20" fillId="0" borderId="0"/>
    <xf numFmtId="196" fontId="20" fillId="0" borderId="0"/>
    <xf numFmtId="196" fontId="20" fillId="0" borderId="0"/>
    <xf numFmtId="0" fontId="19"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20" fillId="0" borderId="0"/>
    <xf numFmtId="197" fontId="20" fillId="0" borderId="0"/>
    <xf numFmtId="0" fontId="19" fillId="0" borderId="0"/>
    <xf numFmtId="0" fontId="104" fillId="0" borderId="0"/>
    <xf numFmtId="0" fontId="104" fillId="0" borderId="0"/>
    <xf numFmtId="0" fontId="104" fillId="0" borderId="0"/>
    <xf numFmtId="0" fontId="104" fillId="0" borderId="0"/>
    <xf numFmtId="0" fontId="104" fillId="0" borderId="0"/>
    <xf numFmtId="0" fontId="106"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30" fillId="0" borderId="0"/>
    <xf numFmtId="0" fontId="104" fillId="0" borderId="0"/>
    <xf numFmtId="196" fontId="20" fillId="0" borderId="0"/>
    <xf numFmtId="196" fontId="20" fillId="0" borderId="0"/>
    <xf numFmtId="0" fontId="104" fillId="0" borderId="0"/>
    <xf numFmtId="0" fontId="104" fillId="0" borderId="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20" fillId="0" borderId="0"/>
    <xf numFmtId="0" fontId="20"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104" fillId="0" borderId="0"/>
    <xf numFmtId="0" fontId="18" fillId="0" borderId="0"/>
    <xf numFmtId="0" fontId="104" fillId="0" borderId="0"/>
    <xf numFmtId="0" fontId="104"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196"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2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124" fillId="5" borderId="2"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126" fillId="0" borderId="6" applyNumberFormat="0" applyFill="0" applyAlignment="0" applyProtection="0"/>
    <xf numFmtId="0" fontId="51" fillId="0" borderId="0" applyNumberFormat="0" applyFill="0" applyBorder="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39" fillId="33" borderId="0" applyNumberFormat="0" applyBorder="0" applyAlignment="0" applyProtection="0"/>
    <xf numFmtId="43" fontId="1" fillId="0" borderId="0" applyFont="0" applyFill="0" applyBorder="0" applyAlignment="0" applyProtection="0"/>
    <xf numFmtId="0" fontId="1" fillId="0" borderId="0"/>
    <xf numFmtId="9" fontId="128" fillId="0" borderId="0">
      <alignment horizontal="right"/>
    </xf>
    <xf numFmtId="0" fontId="20" fillId="0" borderId="0"/>
    <xf numFmtId="0" fontId="93" fillId="0" borderId="0"/>
    <xf numFmtId="0" fontId="104" fillId="0" borderId="0"/>
    <xf numFmtId="0" fontId="20" fillId="0" borderId="0"/>
    <xf numFmtId="0" fontId="93"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199" fontId="129" fillId="0" borderId="0">
      <alignment horizontal="right" vertical="top"/>
    </xf>
    <xf numFmtId="0" fontId="130" fillId="55"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3" borderId="0" applyNumberFormat="0" applyBorder="0" applyAlignment="0" applyProtection="0"/>
    <xf numFmtId="0" fontId="19" fillId="91"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30" fillId="5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94"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39"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95"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9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22" fillId="0" borderId="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45"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48"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38" fillId="49"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106" borderId="0" applyNumberFormat="0" applyBorder="0" applyAlignment="0" applyProtection="0"/>
    <xf numFmtId="0" fontId="38" fillId="50"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22" fillId="0" borderId="0"/>
    <xf numFmtId="1" fontId="20" fillId="107" borderId="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200" fontId="22" fillId="0" borderId="0"/>
    <xf numFmtId="201" fontId="22" fillId="0" borderId="0"/>
    <xf numFmtId="202" fontId="22" fillId="0" borderId="0"/>
    <xf numFmtId="200"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3" fontId="22" fillId="0" borderId="0"/>
    <xf numFmtId="204" fontId="22" fillId="0" borderId="0"/>
    <xf numFmtId="205" fontId="22" fillId="0" borderId="0"/>
    <xf numFmtId="203"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6" fontId="22" fillId="0" borderId="0">
      <alignment horizontal="right"/>
      <protection locked="0"/>
    </xf>
    <xf numFmtId="207" fontId="22" fillId="0" borderId="0">
      <alignment horizontal="right"/>
      <protection locked="0"/>
    </xf>
    <xf numFmtId="208" fontId="22" fillId="0" borderId="0"/>
    <xf numFmtId="209" fontId="22" fillId="0" borderId="0"/>
    <xf numFmtId="210" fontId="22" fillId="0" borderId="0"/>
    <xf numFmtId="208"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11" fillId="6" borderId="4" applyNumberFormat="0" applyAlignment="0" applyProtection="0"/>
    <xf numFmtId="0" fontId="133" fillId="108" borderId="4"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181" fontId="14" fillId="0" borderId="0" applyFont="0" applyFill="0" applyBorder="0" applyAlignment="0" applyProtection="0"/>
    <xf numFmtId="44" fontId="1" fillId="0" borderId="0" applyFont="0" applyFill="0" applyBorder="0" applyAlignment="0" applyProtection="0"/>
    <xf numFmtId="44" fontId="10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9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9" fontId="134" fillId="98" borderId="0">
      <alignment vertical="center"/>
    </xf>
    <xf numFmtId="49" fontId="134" fillId="99" borderId="0">
      <alignment vertical="center"/>
    </xf>
    <xf numFmtId="200"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43">
      <protection locked="0"/>
    </xf>
    <xf numFmtId="203"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43">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49" fontId="22" fillId="80" borderId="43">
      <alignment horizontal="left" vertical="top" wrapText="1"/>
      <protection locked="0"/>
    </xf>
    <xf numFmtId="49" fontId="22" fillId="80" borderId="43">
      <alignment horizontal="left" vertical="top" wrapText="1"/>
      <protection locked="0"/>
    </xf>
    <xf numFmtId="49" fontId="22" fillId="80" borderId="43">
      <alignment horizontal="left" vertical="top" wrapText="1"/>
      <protection locked="0"/>
    </xf>
    <xf numFmtId="208"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43">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211" fontId="22" fillId="60" borderId="43">
      <alignment horizontal="left" indent="1"/>
      <protection locked="0"/>
    </xf>
    <xf numFmtId="211" fontId="22" fillId="60" borderId="43">
      <alignment horizontal="left" indent="1"/>
      <protection locked="0"/>
    </xf>
    <xf numFmtId="211" fontId="22" fillId="60" borderId="43">
      <alignment horizontal="left" indent="1"/>
      <protection locked="0"/>
    </xf>
    <xf numFmtId="2" fontId="135" fillId="60" borderId="9">
      <protection locked="0"/>
    </xf>
    <xf numFmtId="16" fontId="30" fillId="0" borderId="0" applyFont="0" applyFill="0" applyBorder="0" applyAlignment="0" applyProtection="0"/>
    <xf numFmtId="15" fontId="30" fillId="0" borderId="0" applyFont="0" applyFill="0" applyBorder="0" applyAlignment="0" applyProtection="0"/>
    <xf numFmtId="17" fontId="30" fillId="0" borderId="0" applyFont="0" applyFill="0" applyBorder="0" applyAlignment="0" applyProtection="0"/>
    <xf numFmtId="212" fontId="15" fillId="78" borderId="0">
      <alignment horizontal="right"/>
    </xf>
    <xf numFmtId="15" fontId="136" fillId="109" borderId="0" applyNumberFormat="0" applyFont="0" applyBorder="0" applyAlignment="0" applyProtection="0"/>
    <xf numFmtId="199" fontId="137" fillId="74" borderId="0">
      <alignment horizontal="right"/>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4" fillId="110" borderId="0">
      <alignment horizontal="right" vertical="center"/>
    </xf>
    <xf numFmtId="0" fontId="134" fillId="89" borderId="0">
      <alignment horizontal="right" vertical="center"/>
    </xf>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80" borderId="0" applyNumberFormat="0" applyBorder="0" applyAlignment="0" applyProtection="0"/>
    <xf numFmtId="0" fontId="85" fillId="111"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3" borderId="0">
      <alignment vertical="center"/>
    </xf>
    <xf numFmtId="0" fontId="138" fillId="113" borderId="0">
      <alignment vertical="center"/>
    </xf>
    <xf numFmtId="0" fontId="138" fillId="113" borderId="0">
      <alignment vertical="center"/>
    </xf>
    <xf numFmtId="0" fontId="139" fillId="0" borderId="44" applyNumberFormat="0" applyFill="0" applyAlignment="0" applyProtection="0"/>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40" fillId="53" borderId="0">
      <alignment vertical="center"/>
    </xf>
    <xf numFmtId="0" fontId="140" fillId="53" borderId="0">
      <alignment vertical="center"/>
    </xf>
    <xf numFmtId="0" fontId="141" fillId="0" borderId="45" applyNumberFormat="0" applyFill="0" applyAlignment="0" applyProtection="0"/>
    <xf numFmtId="0" fontId="140" fillId="53" borderId="0">
      <alignment vertical="center"/>
    </xf>
    <xf numFmtId="0" fontId="140" fillId="53" borderId="0">
      <alignment vertical="center"/>
    </xf>
    <xf numFmtId="0" fontId="140" fillId="53" borderId="0">
      <alignment vertical="center"/>
    </xf>
    <xf numFmtId="0" fontId="140" fillId="53" borderId="0">
      <alignment vertical="center"/>
    </xf>
    <xf numFmtId="0" fontId="142" fillId="0" borderId="0"/>
    <xf numFmtId="0" fontId="142" fillId="0" borderId="0"/>
    <xf numFmtId="0" fontId="143" fillId="0" borderId="11" applyNumberFormat="0" applyFill="0" applyAlignment="0" applyProtection="0"/>
    <xf numFmtId="0" fontId="142" fillId="0" borderId="0"/>
    <xf numFmtId="0" fontId="142" fillId="0" borderId="0"/>
    <xf numFmtId="0" fontId="142" fillId="0" borderId="0"/>
    <xf numFmtId="0" fontId="142" fillId="0" borderId="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3" fillId="0" borderId="0" applyNumberFormat="0" applyFill="0" applyBorder="0" applyAlignment="0" applyProtection="0"/>
    <xf numFmtId="1" fontId="20" fillId="60" borderId="0"/>
    <xf numFmtId="1" fontId="20" fillId="60" borderId="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47" fillId="97" borderId="12" applyNumberFormat="0" applyAlignment="0" applyProtection="0"/>
    <xf numFmtId="1" fontId="20" fillId="60" borderId="0"/>
    <xf numFmtId="1" fontId="20" fillId="60" borderId="0"/>
    <xf numFmtId="1" fontId="20" fillId="60" borderId="0"/>
    <xf numFmtId="1" fontId="20" fillId="60" borderId="0"/>
    <xf numFmtId="0" fontId="151" fillId="0" borderId="0">
      <alignment horizontal="left" indent="1"/>
    </xf>
    <xf numFmtId="0" fontId="152" fillId="0" borderId="0"/>
    <xf numFmtId="0" fontId="153" fillId="0" borderId="0">
      <alignment horizontal="center"/>
    </xf>
    <xf numFmtId="0" fontId="25" fillId="0" borderId="20" applyProtection="0">
      <alignment horizontal="center"/>
      <protection locked="0"/>
    </xf>
    <xf numFmtId="0" fontId="154" fillId="0" borderId="46" applyNumberFormat="0" applyFill="0" applyAlignment="0" applyProtection="0"/>
    <xf numFmtId="0" fontId="154" fillId="0" borderId="46"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34" fillId="114" borderId="0">
      <alignment horizontal="right" vertical="center"/>
    </xf>
    <xf numFmtId="0" fontId="134" fillId="90" borderId="0">
      <alignment horizontal="right" vertical="center"/>
    </xf>
    <xf numFmtId="49" fontId="155" fillId="98" borderId="0">
      <alignment horizontal="centerContinuous" vertical="center"/>
    </xf>
    <xf numFmtId="49" fontId="155" fillId="99" borderId="0">
      <alignment horizontal="centerContinuous" vertical="center"/>
    </xf>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20" fillId="0" borderId="0" applyNumberFormat="0" applyFont="0" applyFill="0" applyBorder="0" applyAlignment="0" applyProtection="0"/>
    <xf numFmtId="0" fontId="1" fillId="0" borderId="0"/>
    <xf numFmtId="0" fontId="18" fillId="0" borderId="0"/>
    <xf numFmtId="0" fontId="18" fillId="0" borderId="0"/>
    <xf numFmtId="0" fontId="20" fillId="0" borderId="0" applyNumberFormat="0" applyFont="0" applyFill="0" applyBorder="0" applyAlignment="0" applyProtection="0"/>
    <xf numFmtId="0" fontId="105" fillId="0" borderId="0"/>
    <xf numFmtId="214" fontId="30" fillId="0" borderId="0" applyFont="0" applyFill="0" applyBorder="0" applyAlignment="0" applyProtection="0"/>
    <xf numFmtId="215" fontId="30" fillId="0" borderId="0" applyFont="0" applyFill="0" applyBorder="0" applyAlignment="0" applyProtection="0"/>
    <xf numFmtId="216" fontId="30" fillId="0" borderId="0" applyFont="0" applyFill="0" applyBorder="0" applyAlignment="0" applyProtection="0"/>
    <xf numFmtId="217" fontId="30" fillId="0" borderId="0" applyFont="0" applyFill="0" applyBorder="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156" fillId="78" borderId="0">
      <alignment horizontal="left" vertical="top" wrapText="1"/>
    </xf>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9" fontId="1" fillId="0" borderId="0" applyFont="0" applyFill="0" applyBorder="0" applyAlignment="0" applyProtection="0"/>
    <xf numFmtId="9" fontId="30" fillId="0" borderId="0" applyFont="0" applyFill="0" applyBorder="0" applyAlignment="0" applyProtection="0"/>
    <xf numFmtId="200" fontId="157" fillId="0" borderId="0">
      <alignment horizontal="right"/>
    </xf>
    <xf numFmtId="199" fontId="158" fillId="74" borderId="0">
      <alignment horizontal="right"/>
    </xf>
    <xf numFmtId="0" fontId="134" fillId="98" borderId="0">
      <alignment horizontal="right" vertical="center"/>
    </xf>
    <xf numFmtId="0" fontId="134" fillId="99" borderId="0">
      <alignment horizontal="right" vertical="center"/>
    </xf>
    <xf numFmtId="0" fontId="159" fillId="0" borderId="47" applyFill="0" applyProtection="0">
      <alignment horizontal="right" wrapText="1"/>
    </xf>
    <xf numFmtId="0" fontId="159" fillId="0" borderId="0" applyFill="0" applyProtection="0">
      <alignment wrapText="1"/>
    </xf>
    <xf numFmtId="0" fontId="31" fillId="57" borderId="8">
      <alignment horizontal="center"/>
    </xf>
    <xf numFmtId="0" fontId="31" fillId="57" borderId="8">
      <alignment horizontal="center"/>
    </xf>
    <xf numFmtId="0" fontId="31" fillId="57" borderId="8">
      <alignment horizontal="center"/>
    </xf>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198" fontId="20" fillId="0" borderId="0" applyAlignment="0">
      <alignment horizontal="left"/>
    </xf>
    <xf numFmtId="0" fontId="1" fillId="0" borderId="0"/>
    <xf numFmtId="49" fontId="30" fillId="0" borderId="0" applyFont="0" applyFill="0" applyBorder="0" applyAlignment="0" applyProtection="0"/>
    <xf numFmtId="0" fontId="1" fillId="0" borderId="0"/>
    <xf numFmtId="0" fontId="34" fillId="78" borderId="0"/>
    <xf numFmtId="0" fontId="34" fillId="74" borderId="0"/>
    <xf numFmtId="0" fontId="1" fillId="0" borderId="0"/>
    <xf numFmtId="0" fontId="15" fillId="78" borderId="0">
      <alignment horizontal="left"/>
    </xf>
    <xf numFmtId="0" fontId="15" fillId="74" borderId="0">
      <alignment horizontal="left"/>
    </xf>
    <xf numFmtId="0" fontId="1" fillId="0" borderId="0"/>
    <xf numFmtId="0" fontId="15" fillId="78" borderId="0">
      <alignment horizontal="left" indent="1"/>
    </xf>
    <xf numFmtId="0" fontId="15" fillId="74" borderId="0">
      <alignment horizontal="left" indent="1"/>
    </xf>
    <xf numFmtId="0" fontId="1" fillId="0" borderId="0"/>
    <xf numFmtId="0" fontId="15" fillId="78" borderId="0">
      <alignment horizontal="left" vertical="center" indent="2"/>
    </xf>
    <xf numFmtId="0" fontId="15" fillId="74" borderId="0">
      <alignment horizontal="left" vertical="center" indent="2"/>
    </xf>
    <xf numFmtId="0" fontId="1" fillId="0" borderId="0"/>
    <xf numFmtId="49" fontId="160" fillId="0" borderId="0" applyFill="0" applyBorder="0" applyProtection="0">
      <alignment horizontal="center" vertical="top"/>
    </xf>
    <xf numFmtId="0" fontId="1" fillId="0" borderId="0"/>
    <xf numFmtId="0" fontId="29" fillId="0" borderId="0">
      <alignment horizontal="center"/>
    </xf>
    <xf numFmtId="0" fontId="1" fillId="0" borderId="0"/>
    <xf numFmtId="15" fontId="29" fillId="0" borderId="0">
      <alignment horizontal="center"/>
    </xf>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49" fontId="70" fillId="74" borderId="0"/>
    <xf numFmtId="0" fontId="1" fillId="0" borderId="0"/>
    <xf numFmtId="0" fontId="163" fillId="0" borderId="0" applyNumberFormat="0" applyFill="0" applyBorder="0" applyAlignment="0" applyProtection="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38" fillId="107" borderId="48"/>
    <xf numFmtId="0" fontId="1" fillId="0" borderId="0"/>
    <xf numFmtId="0" fontId="88" fillId="107" borderId="49">
      <alignment horizontal="left"/>
    </xf>
    <xf numFmtId="0" fontId="1" fillId="0" borderId="0"/>
    <xf numFmtId="22" fontId="22" fillId="53" borderId="49">
      <alignment vertical="center"/>
    </xf>
    <xf numFmtId="0" fontId="1" fillId="0" borderId="0"/>
    <xf numFmtId="0" fontId="22" fillId="53" borderId="49">
      <alignment horizontal="left" vertical="top" wrapText="1"/>
    </xf>
    <xf numFmtId="0" fontId="1" fillId="0" borderId="0"/>
    <xf numFmtId="0" fontId="22" fillId="53" borderId="50"/>
    <xf numFmtId="0" fontId="1" fillId="0" borderId="0"/>
    <xf numFmtId="0" fontId="22" fillId="53" borderId="5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4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49" fontId="160" fillId="40" borderId="0" applyNumberFormat="0" applyFont="0" applyBorder="0" applyAlignment="0" applyProtection="0">
      <alignment horizontal="center"/>
    </xf>
    <xf numFmtId="49" fontId="160" fillId="70" borderId="0" applyNumberFormat="0" applyFont="0" applyBorder="0" applyAlignment="0" applyProtection="0">
      <alignment horizontal="center"/>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218" fontId="136" fillId="0" borderId="0" applyFont="0" applyFill="0" applyBorder="0" applyAlignment="0" applyProtection="0"/>
    <xf numFmtId="0" fontId="1" fillId="0" borderId="0"/>
    <xf numFmtId="0" fontId="20" fillId="80" borderId="9">
      <protection locked="0"/>
    </xf>
    <xf numFmtId="195" fontId="20" fillId="0" borderId="33">
      <protection locked="0"/>
    </xf>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4" fontId="80" fillId="80" borderId="9"/>
    <xf numFmtId="184" fontId="80" fillId="80" borderId="9"/>
    <xf numFmtId="184" fontId="80" fillId="80" borderId="9"/>
    <xf numFmtId="184" fontId="80" fillId="80" borderId="9"/>
    <xf numFmtId="184" fontId="80" fillId="80" borderId="9"/>
    <xf numFmtId="183" fontId="82" fillId="60" borderId="9"/>
    <xf numFmtId="184" fontId="80" fillId="80" borderId="9"/>
    <xf numFmtId="195" fontId="20" fillId="0" borderId="33">
      <protection locked="0"/>
    </xf>
    <xf numFmtId="187" fontId="80" fillId="70" borderId="9" applyNumberFormat="0" applyFont="0" applyBorder="0" applyAlignment="0"/>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4" fontId="83" fillId="58" borderId="9"/>
    <xf numFmtId="0" fontId="93" fillId="42" borderId="36" applyNumberFormat="0" applyFont="0" applyAlignment="0" applyProtection="0"/>
    <xf numFmtId="0" fontId="93" fillId="42" borderId="36" applyNumberFormat="0" applyFont="0" applyAlignment="0" applyProtection="0"/>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0" fontId="50" fillId="81" borderId="23" applyNumberFormat="0" applyAlignment="0" applyProtection="0"/>
    <xf numFmtId="0" fontId="50" fillId="81" borderId="23" applyNumberFormat="0" applyAlignment="0" applyProtection="0"/>
    <xf numFmtId="0" fontId="59" fillId="53" borderId="9">
      <alignment horizontal="center" vertical="center" wrapText="1"/>
    </xf>
    <xf numFmtId="0" fontId="52" fillId="0" borderId="41" applyNumberFormat="0" applyFill="0" applyAlignment="0" applyProtection="0"/>
    <xf numFmtId="0" fontId="52" fillId="0" borderId="41" applyNumberFormat="0" applyFill="0" applyAlignment="0" applyProtection="0"/>
    <xf numFmtId="0" fontId="1" fillId="0" borderId="0"/>
    <xf numFmtId="0" fontId="1" fillId="0" borderId="0"/>
    <xf numFmtId="0" fontId="18" fillId="0" borderId="0"/>
    <xf numFmtId="0" fontId="93" fillId="42" borderId="36" applyNumberFormat="0" applyFont="0" applyAlignment="0" applyProtection="0"/>
    <xf numFmtId="0" fontId="93" fillId="42" borderId="36" applyNumberFormat="0" applyFont="0" applyAlignment="0" applyProtection="0"/>
    <xf numFmtId="0" fontId="50" fillId="81" borderId="23" applyNumberFormat="0" applyAlignment="0" applyProtection="0"/>
    <xf numFmtId="0" fontId="50" fillId="81" borderId="23" applyNumberFormat="0" applyAlignment="0" applyProtection="0"/>
    <xf numFmtId="0" fontId="52" fillId="0" borderId="41" applyNumberFormat="0" applyFill="0" applyAlignment="0" applyProtection="0"/>
    <xf numFmtId="0" fontId="52" fillId="0" borderId="41" applyNumberFormat="0" applyFill="0" applyAlignment="0" applyProtection="0"/>
    <xf numFmtId="0" fontId="20" fillId="80" borderId="9">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84" fontId="80" fillId="80" borderId="9"/>
    <xf numFmtId="184" fontId="80" fillId="80" borderId="9"/>
    <xf numFmtId="184" fontId="80" fillId="80" borderId="9"/>
    <xf numFmtId="184" fontId="80" fillId="80" borderId="9"/>
    <xf numFmtId="184" fontId="80" fillId="80" borderId="9"/>
    <xf numFmtId="184" fontId="80" fillId="80" borderId="9"/>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80" borderId="9">
      <protection locked="0"/>
    </xf>
    <xf numFmtId="0" fontId="20" fillId="80" borderId="9">
      <protection locked="0"/>
    </xf>
    <xf numFmtId="184" fontId="80" fillId="80" borderId="9"/>
    <xf numFmtId="184" fontId="80" fillId="80" borderId="9"/>
    <xf numFmtId="184" fontId="80" fillId="80" borderId="9"/>
    <xf numFmtId="184" fontId="80" fillId="80" borderId="9"/>
    <xf numFmtId="184" fontId="80" fillId="80" borderId="9"/>
    <xf numFmtId="184" fontId="80" fillId="80" borderId="9"/>
    <xf numFmtId="41"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8" fillId="0" borderId="0"/>
    <xf numFmtId="0" fontId="1" fillId="0" borderId="0"/>
    <xf numFmtId="0" fontId="1" fillId="0" borderId="0"/>
    <xf numFmtId="0" fontId="18" fillId="0" borderId="0"/>
    <xf numFmtId="184" fontId="80" fillId="80" borderId="9"/>
    <xf numFmtId="184" fontId="80" fillId="80" borderId="9"/>
    <xf numFmtId="184" fontId="80" fillId="80" borderId="9"/>
    <xf numFmtId="184" fontId="80" fillId="80" borderId="9"/>
    <xf numFmtId="184" fontId="80" fillId="80" borderId="9"/>
    <xf numFmtId="184" fontId="80" fillId="80" borderId="9"/>
    <xf numFmtId="43" fontId="20"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9" fontId="18" fillId="0" borderId="0" applyFont="0" applyFill="0" applyBorder="0" applyAlignment="0" applyProtection="0"/>
    <xf numFmtId="9" fontId="2" fillId="0" borderId="0" applyFont="0" applyFill="0" applyBorder="0" applyAlignment="0" applyProtection="0"/>
  </cellStyleXfs>
  <cellXfs count="119">
    <xf numFmtId="0" fontId="0" fillId="0" borderId="0" xfId="0"/>
    <xf numFmtId="0" fontId="3" fillId="0" borderId="0" xfId="1" applyAlignment="1">
      <alignment wrapText="1" readingOrder="1"/>
    </xf>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ill="1" applyAlignment="1">
      <alignment readingOrder="1"/>
    </xf>
    <xf numFmtId="0" fontId="6" fillId="0" borderId="0" xfId="0" applyFont="1" applyAlignment="1">
      <alignment readingOrder="1"/>
    </xf>
    <xf numFmtId="0" fontId="9" fillId="0" borderId="0" xfId="0" applyFont="1" applyAlignment="1">
      <alignment horizontal="left" wrapText="1" readingOrder="1"/>
    </xf>
    <xf numFmtId="0" fontId="0" fillId="0" borderId="0" xfId="0" applyAlignment="1">
      <alignment horizontal="right"/>
    </xf>
    <xf numFmtId="0" fontId="7" fillId="0" borderId="0" xfId="4" applyFill="1" applyAlignment="1">
      <alignment wrapText="1"/>
    </xf>
    <xf numFmtId="0" fontId="0" fillId="0" borderId="0" xfId="0" applyAlignment="1">
      <alignment horizontal="center"/>
    </xf>
    <xf numFmtId="0" fontId="164" fillId="0" borderId="0" xfId="0" applyFont="1" applyAlignment="1">
      <alignment horizontal="left" vertical="top"/>
    </xf>
    <xf numFmtId="0" fontId="3"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0" fontId="4" fillId="0" borderId="0" xfId="0" applyFont="1" applyAlignment="1">
      <alignment vertical="top" wrapText="1"/>
    </xf>
    <xf numFmtId="197" fontId="0" fillId="0" borderId="0" xfId="0" applyNumberFormat="1"/>
    <xf numFmtId="165" fontId="166" fillId="0" borderId="0" xfId="0" applyNumberFormat="1" applyFont="1" applyAlignment="1">
      <alignment horizontal="right" wrapText="1"/>
    </xf>
    <xf numFmtId="165" fontId="167" fillId="0" borderId="0" xfId="0" applyNumberFormat="1" applyFont="1" applyAlignment="1">
      <alignment horizontal="right"/>
    </xf>
    <xf numFmtId="165" fontId="9" fillId="0" borderId="0" xfId="0" applyNumberFormat="1" applyFont="1" applyAlignment="1">
      <alignment horizontal="right" vertical="top" wrapText="1" readingOrder="1"/>
    </xf>
    <xf numFmtId="0" fontId="169" fillId="0" borderId="0" xfId="4" applyFont="1" applyAlignment="1">
      <alignment vertical="top" wrapText="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xf>
    <xf numFmtId="0" fontId="3" fillId="0" borderId="0" xfId="1" applyFill="1" applyAlignment="1">
      <alignment horizontal="left" readingOrder="1"/>
    </xf>
    <xf numFmtId="0" fontId="6" fillId="0" borderId="0" xfId="0" applyFont="1" applyAlignment="1">
      <alignment vertical="top" readingOrder="1"/>
    </xf>
    <xf numFmtId="0" fontId="10" fillId="0" borderId="0" xfId="0" applyFont="1" applyAlignment="1">
      <alignment readingOrder="1"/>
    </xf>
    <xf numFmtId="0" fontId="7" fillId="0" borderId="0" xfId="4"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165" fontId="9" fillId="0" borderId="53" xfId="0" applyNumberFormat="1" applyFont="1" applyBorder="1" applyAlignment="1">
      <alignment horizontal="right" vertical="top" wrapText="1" readingOrder="1"/>
    </xf>
    <xf numFmtId="0" fontId="6" fillId="0" borderId="0" xfId="0" applyFont="1" applyAlignment="1">
      <alignment horizontal="left" wrapText="1"/>
    </xf>
    <xf numFmtId="0" fontId="7" fillId="0" borderId="0" xfId="4"/>
    <xf numFmtId="165" fontId="166" fillId="0" borderId="53" xfId="0" applyNumberFormat="1" applyFont="1" applyBorder="1" applyAlignment="1">
      <alignment horizontal="right" wrapText="1"/>
    </xf>
    <xf numFmtId="0" fontId="0" fillId="115" borderId="0" xfId="0" applyFill="1"/>
    <xf numFmtId="0" fontId="173" fillId="115" borderId="0" xfId="0" applyFont="1" applyFill="1" applyAlignment="1">
      <alignment vertical="top" wrapText="1"/>
    </xf>
    <xf numFmtId="0" fontId="174" fillId="115" borderId="0" xfId="0" applyFont="1" applyFill="1"/>
    <xf numFmtId="0" fontId="175" fillId="115" borderId="0" xfId="0" applyFont="1" applyFill="1" applyAlignment="1">
      <alignment vertical="center"/>
    </xf>
    <xf numFmtId="0" fontId="175" fillId="115" borderId="0" xfId="0" applyFont="1" applyFill="1"/>
    <xf numFmtId="0" fontId="176" fillId="115" borderId="0" xfId="0" applyFont="1" applyFill="1" applyAlignment="1">
      <alignment horizontal="left"/>
    </xf>
    <xf numFmtId="0" fontId="177" fillId="115" borderId="0" xfId="0" applyFont="1" applyFill="1" applyAlignment="1">
      <alignment vertical="center"/>
    </xf>
    <xf numFmtId="0" fontId="0" fillId="115" borderId="0" xfId="0" applyFill="1" applyAlignment="1">
      <alignment horizontal="left"/>
    </xf>
    <xf numFmtId="0" fontId="180" fillId="115" borderId="0" xfId="0" applyFont="1" applyFill="1"/>
    <xf numFmtId="0" fontId="181" fillId="115" borderId="0" xfId="0" applyFont="1" applyFill="1"/>
    <xf numFmtId="0" fontId="182" fillId="115" borderId="0" xfId="0" applyFont="1" applyFill="1"/>
    <xf numFmtId="0" fontId="104" fillId="115" borderId="0" xfId="0" applyFont="1" applyFill="1"/>
    <xf numFmtId="0" fontId="183" fillId="115" borderId="0" xfId="0" applyFont="1" applyFill="1"/>
    <xf numFmtId="0" fontId="180" fillId="115" borderId="0" xfId="0" applyFont="1" applyFill="1" applyAlignment="1">
      <alignment horizontal="left"/>
    </xf>
    <xf numFmtId="0" fontId="0" fillId="115" borderId="0" xfId="0" applyFill="1" applyAlignment="1">
      <alignment horizontal="center" vertical="center"/>
    </xf>
    <xf numFmtId="0" fontId="8" fillId="115" borderId="0" xfId="0" applyFont="1" applyFill="1"/>
    <xf numFmtId="0" fontId="184" fillId="115" borderId="0" xfId="0" applyFont="1" applyFill="1"/>
    <xf numFmtId="0" fontId="186" fillId="115" borderId="0" xfId="0" applyFont="1" applyFill="1" applyAlignment="1">
      <alignment horizontal="left"/>
    </xf>
    <xf numFmtId="0" fontId="186" fillId="115" borderId="0" xfId="0" applyFont="1" applyFill="1"/>
    <xf numFmtId="0" fontId="187" fillId="115" borderId="0" xfId="0" applyFont="1" applyFill="1"/>
    <xf numFmtId="0" fontId="189" fillId="115" borderId="0" xfId="0" applyFont="1" applyFill="1"/>
    <xf numFmtId="0" fontId="190" fillId="115" borderId="0" xfId="0" applyFont="1" applyFill="1"/>
    <xf numFmtId="0" fontId="191" fillId="115" borderId="0" xfId="0" applyFont="1" applyFill="1"/>
    <xf numFmtId="0" fontId="192" fillId="115" borderId="0" xfId="0" applyFont="1" applyFill="1"/>
    <xf numFmtId="0" fontId="193" fillId="116" borderId="0" xfId="0" applyFont="1" applyFill="1"/>
    <xf numFmtId="0" fontId="0" fillId="0" borderId="0" xfId="0" applyAlignment="1">
      <alignment horizontal="left"/>
    </xf>
    <xf numFmtId="0" fontId="0" fillId="116" borderId="0" xfId="0" applyFill="1"/>
    <xf numFmtId="219" fontId="0" fillId="0" borderId="0" xfId="0" applyNumberFormat="1"/>
    <xf numFmtId="0" fontId="0" fillId="0" borderId="56" xfId="0" applyBorder="1"/>
    <xf numFmtId="2" fontId="0" fillId="0" borderId="57" xfId="0" applyNumberFormat="1" applyBorder="1"/>
    <xf numFmtId="0" fontId="0" fillId="0" borderId="57" xfId="0" applyBorder="1"/>
    <xf numFmtId="0" fontId="194" fillId="116" borderId="58" xfId="0" applyFont="1" applyFill="1" applyBorder="1"/>
    <xf numFmtId="2" fontId="0" fillId="0" borderId="0" xfId="0" applyNumberFormat="1"/>
    <xf numFmtId="2" fontId="0" fillId="0" borderId="0" xfId="55011" applyNumberFormat="1" applyFont="1"/>
    <xf numFmtId="9" fontId="0" fillId="0" borderId="0" xfId="55011" applyFont="1"/>
    <xf numFmtId="0" fontId="0" fillId="0" borderId="0" xfId="0" pivotButton="1"/>
    <xf numFmtId="0" fontId="195" fillId="0" borderId="0" xfId="0" applyFont="1" applyAlignment="1">
      <alignment horizontal="center" vertical="top"/>
    </xf>
    <xf numFmtId="165" fontId="0" fillId="0" borderId="0" xfId="0" applyNumberFormat="1"/>
    <xf numFmtId="0" fontId="0" fillId="0" borderId="0" xfId="0" applyAlignment="1">
      <alignment horizontal="center" vertical="center"/>
    </xf>
    <xf numFmtId="0" fontId="196" fillId="117" borderId="59" xfId="0" applyFont="1" applyFill="1" applyBorder="1" applyAlignment="1">
      <alignment horizontal="center" vertical="center"/>
    </xf>
    <xf numFmtId="165" fontId="196" fillId="117" borderId="60" xfId="0" applyNumberFormat="1" applyFont="1" applyFill="1" applyBorder="1" applyAlignment="1">
      <alignment horizontal="center" vertical="center" wrapText="1" readingOrder="1"/>
    </xf>
    <xf numFmtId="165" fontId="196" fillId="117" borderId="61" xfId="0" applyNumberFormat="1" applyFont="1" applyFill="1" applyBorder="1" applyAlignment="1">
      <alignment horizontal="center" vertical="center" wrapText="1" readingOrder="1"/>
    </xf>
    <xf numFmtId="165" fontId="196" fillId="117" borderId="62" xfId="0" applyNumberFormat="1" applyFont="1" applyFill="1" applyBorder="1" applyAlignment="1">
      <alignment horizontal="center" vertical="center" wrapText="1" readingOrder="1"/>
    </xf>
    <xf numFmtId="197" fontId="166" fillId="0" borderId="0" xfId="55011" applyNumberFormat="1" applyFont="1" applyFill="1" applyBorder="1" applyAlignment="1">
      <alignment horizontal="center" vertical="center" wrapText="1"/>
    </xf>
    <xf numFmtId="0" fontId="196" fillId="117" borderId="60" xfId="0" applyFont="1" applyFill="1" applyBorder="1" applyAlignment="1">
      <alignment horizontal="left" vertical="center"/>
    </xf>
    <xf numFmtId="0" fontId="0" fillId="0" borderId="0" xfId="0" applyAlignment="1">
      <alignment horizontal="left" vertical="center"/>
    </xf>
    <xf numFmtId="165" fontId="0" fillId="0" borderId="0" xfId="0" applyNumberFormat="1" applyAlignment="1">
      <alignment horizontal="center" vertical="center"/>
    </xf>
    <xf numFmtId="0" fontId="170" fillId="0" borderId="0" xfId="0" applyFont="1" applyAlignment="1">
      <alignment vertical="top" readingOrder="1"/>
    </xf>
    <xf numFmtId="165" fontId="166" fillId="0" borderId="53" xfId="55011" applyNumberFormat="1" applyFont="1" applyFill="1" applyBorder="1" applyAlignment="1">
      <alignment horizontal="right" wrapText="1"/>
    </xf>
    <xf numFmtId="0" fontId="197" fillId="0" borderId="0" xfId="0" applyFont="1"/>
    <xf numFmtId="0" fontId="168" fillId="0" borderId="0" xfId="0" applyFont="1" applyAlignment="1">
      <alignment horizontal="left" readingOrder="1"/>
    </xf>
    <xf numFmtId="0" fontId="168" fillId="0" borderId="54" xfId="0" applyFont="1" applyBorder="1" applyAlignment="1">
      <alignment horizontal="left" readingOrder="1"/>
    </xf>
    <xf numFmtId="164" fontId="165" fillId="0" borderId="0" xfId="0" applyNumberFormat="1" applyFont="1" applyAlignment="1">
      <alignment horizontal="center" wrapText="1" readingOrder="1"/>
    </xf>
    <xf numFmtId="165" fontId="196" fillId="0" borderId="0" xfId="0" applyNumberFormat="1" applyFont="1" applyAlignment="1">
      <alignment horizontal="center" vertical="center" wrapText="1" readingOrder="1"/>
    </xf>
    <xf numFmtId="0" fontId="6" fillId="0" borderId="0" xfId="0" applyFont="1" applyAlignment="1">
      <alignment horizontal="left" vertical="center" wrapText="1"/>
    </xf>
    <xf numFmtId="0" fontId="198" fillId="0" borderId="0" xfId="0" applyFont="1" applyAlignment="1">
      <alignment wrapText="1"/>
    </xf>
    <xf numFmtId="165" fontId="170" fillId="0" borderId="53" xfId="0" applyNumberFormat="1" applyFont="1" applyBorder="1" applyAlignment="1">
      <alignment horizontal="right" wrapText="1" readingOrder="1"/>
    </xf>
    <xf numFmtId="165" fontId="170" fillId="0" borderId="0" xfId="0" applyNumberFormat="1" applyFont="1" applyAlignment="1">
      <alignment horizontal="right" wrapText="1" readingOrder="1"/>
    </xf>
    <xf numFmtId="165" fontId="170" fillId="0" borderId="55" xfId="0" applyNumberFormat="1" applyFont="1" applyBorder="1" applyAlignment="1">
      <alignment horizontal="right" wrapText="1" readingOrder="1"/>
    </xf>
    <xf numFmtId="165" fontId="170" fillId="0" borderId="54" xfId="0" applyNumberFormat="1" applyFont="1" applyBorder="1" applyAlignment="1">
      <alignment horizontal="right" wrapText="1" readingOrder="1"/>
    </xf>
    <xf numFmtId="0" fontId="6" fillId="0" borderId="0" xfId="0" applyFont="1" applyAlignment="1">
      <alignment horizontal="right" wrapText="1" readingOrder="1"/>
    </xf>
    <xf numFmtId="165" fontId="6" fillId="0" borderId="0" xfId="0" applyNumberFormat="1" applyFont="1" applyAlignment="1">
      <alignment horizontal="right" wrapText="1" readingOrder="1"/>
    </xf>
    <xf numFmtId="0" fontId="167" fillId="0" borderId="0" xfId="0" applyFont="1" applyAlignment="1">
      <alignment readingOrder="1"/>
    </xf>
    <xf numFmtId="165" fontId="166" fillId="0" borderId="0" xfId="545" applyNumberFormat="1" applyFont="1" applyAlignment="1">
      <alignment horizontal="right" wrapText="1"/>
    </xf>
    <xf numFmtId="45" fontId="166" fillId="0" borderId="53" xfId="55011" applyNumberFormat="1" applyFont="1" applyFill="1" applyBorder="1" applyAlignment="1">
      <alignment horizontal="right" wrapText="1"/>
    </xf>
    <xf numFmtId="45" fontId="166" fillId="0" borderId="0" xfId="55011" applyNumberFormat="1" applyFont="1" applyFill="1" applyBorder="1" applyAlignment="1">
      <alignment horizontal="right" wrapText="1"/>
    </xf>
    <xf numFmtId="45" fontId="166" fillId="0" borderId="63" xfId="55011" applyNumberFormat="1" applyFont="1" applyFill="1" applyBorder="1" applyAlignment="1">
      <alignment horizontal="right" wrapText="1"/>
    </xf>
    <xf numFmtId="0" fontId="7" fillId="0" borderId="0" xfId="4" applyFill="1" applyBorder="1" applyAlignment="1">
      <alignment wrapText="1"/>
    </xf>
    <xf numFmtId="197" fontId="0" fillId="0" borderId="57" xfId="0" applyNumberFormat="1" applyBorder="1"/>
    <xf numFmtId="197" fontId="0" fillId="0" borderId="0" xfId="55011" applyNumberFormat="1" applyFont="1"/>
    <xf numFmtId="0" fontId="200" fillId="0" borderId="0" xfId="0" applyFont="1" applyAlignment="1">
      <alignment vertical="top" wrapText="1"/>
    </xf>
    <xf numFmtId="1" fontId="170" fillId="0" borderId="53" xfId="0" applyNumberFormat="1" applyFont="1" applyBorder="1" applyAlignment="1">
      <alignment horizontal="right" wrapText="1" readingOrder="1"/>
    </xf>
    <xf numFmtId="0" fontId="202" fillId="0" borderId="0" xfId="0" applyFont="1"/>
    <xf numFmtId="9" fontId="8" fillId="115" borderId="0" xfId="0" applyNumberFormat="1" applyFont="1" applyFill="1" applyAlignment="1">
      <alignment horizontal="left" wrapText="1"/>
    </xf>
    <xf numFmtId="0" fontId="179" fillId="115" borderId="0" xfId="0" applyFont="1" applyFill="1" applyAlignment="1">
      <alignment horizontal="left" vertical="center" wrapText="1"/>
    </xf>
    <xf numFmtId="0" fontId="178" fillId="115" borderId="0" xfId="0" applyFont="1" applyFill="1" applyAlignment="1">
      <alignment horizontal="left" vertical="center" wrapText="1"/>
    </xf>
    <xf numFmtId="0" fontId="188" fillId="115" borderId="0" xfId="0" applyFont="1" applyFill="1" applyAlignment="1">
      <alignment horizontal="left" wrapText="1"/>
    </xf>
    <xf numFmtId="0" fontId="7" fillId="0" borderId="0" xfId="4" applyFill="1" applyAlignment="1">
      <alignment vertical="top"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00">
    <dxf>
      <numFmt numFmtId="165" formatCode="0.0"/>
    </dxf>
    <dxf>
      <numFmt numFmtId="165" formatCode="0.0"/>
    </dxf>
    <dxf>
      <numFmt numFmtId="165" formatCode="0.0"/>
    </dxf>
    <dxf>
      <numFmt numFmtId="165" formatCode="0.0"/>
    </dxf>
    <dxf>
      <numFmt numFmtId="165" formatCode="0.0"/>
    </dxf>
    <dxf>
      <numFmt numFmtId="165" formatCode="0.0"/>
    </dxf>
    <dxf>
      <numFmt numFmtId="197" formatCode="[$-F400]h:mm:ss\ AM/PM"/>
    </dxf>
    <dxf>
      <numFmt numFmtId="197" formatCode="[$-F400]h:mm:ss\ AM/PM"/>
    </dxf>
    <dxf>
      <numFmt numFmtId="220" formatCode="hh:mm:ss;@"/>
    </dxf>
    <dxf>
      <numFmt numFmtId="221" formatCode="m:ss.00"/>
    </dxf>
    <dxf>
      <numFmt numFmtId="165" formatCode="0.0"/>
    </dxf>
    <dxf>
      <numFmt numFmtId="165" formatCode="0.0"/>
    </dxf>
    <dxf>
      <numFmt numFmtId="165" formatCode="0.0"/>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numFmt numFmtId="165" formatCode="0.0"/>
      <alignment horizontal="center" vertical="center" textRotation="0" wrapText="0" indent="0" justifyLastLine="0" shrinkToFit="0" readingOrder="0"/>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center"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left/>
        <right style="thick">
          <color indexed="64"/>
        </right>
        <top/>
        <bottom/>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fill>
        <patternFill patternType="none">
          <fgColor indexed="64"/>
          <bgColor auto="1"/>
        </patternFill>
      </fill>
      <alignment horizontal="left" vertical="bottom" textRotation="0" wrapText="0"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auto="1"/>
        </patternFill>
      </fill>
      <alignment horizontal="right" vertical="center"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center" textRotation="0" wrapText="0" indent="0" justifyLastLine="0" shrinkToFit="0"/>
    </dxf>
  </dxfs>
  <tableStyles count="3" defaultTableStyle="TableStyleMedium2" defaultPivotStyle="PivotStyleLight16">
    <tableStyle name="indicators" pivot="0" table="0" count="6" xr9:uid="{08984A1B-B80F-471B-92B2-992A78CF7614}"/>
    <tableStyle name="indicators 2" pivot="0" table="0" count="6" xr9:uid="{5CCF982B-FDD6-4B47-978C-D59807832B18}"/>
    <tableStyle name="Invisible" pivot="0" table="0" count="0" xr9:uid="{9C9F823B-7536-46A9-B767-1A306B3AC23D}"/>
  </tableStyles>
  <colors>
    <mruColors>
      <color rgb="FF253268"/>
      <color rgb="FF702472"/>
      <color rgb="FF9C46A3"/>
      <color rgb="FF8787C9"/>
      <color rgb="FFA5AFD3"/>
      <color rgb="FF8392C3"/>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indicators 2">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[nhaa-2024-table-5-outcome-meeting-the-needs-of-all-users.xlsx]workings!PivotTable30</c:name>
    <c:fmtId val="3"/>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253268"/>
          </a:solidFill>
          <a:ln>
            <a:noFill/>
          </a:ln>
          <a:effectLst/>
        </c:spPr>
      </c:pivotFmt>
      <c:pivotFmt>
        <c:idx val="14"/>
        <c:spPr>
          <a:solidFill>
            <a:srgbClr val="702472"/>
          </a:solidFill>
          <a:ln>
            <a:noFill/>
          </a:ln>
          <a:effectLst/>
        </c:spPr>
      </c:pivotFmt>
      <c:pivotFmt>
        <c:idx val="15"/>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253268"/>
          </a:solidFill>
          <a:ln>
            <a:noFill/>
          </a:ln>
          <a:effectLst/>
        </c:spPr>
      </c:pivotFmt>
      <c:pivotFmt>
        <c:idx val="17"/>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253268"/>
          </a:solidFill>
        </c:spPr>
        <c:marker>
          <c:symbol val="none"/>
        </c:marker>
        <c:dLbl>
          <c:idx val="0"/>
          <c:spPr>
            <a:noFill/>
            <a:ln>
              <a:noFill/>
            </a:ln>
            <a:effectLst/>
          </c:spPr>
          <c:txPr>
            <a:bodyPr wrap="square" lIns="38100" tIns="19050" rIns="38100" bIns="19050" anchor="ctr">
              <a:spAutoFit/>
            </a:bodyPr>
            <a:lstStyle/>
            <a:p>
              <a:pPr>
                <a:defRPr sz="1400">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253268"/>
          </a:solidFill>
        </c:spPr>
        <c:marker>
          <c:symbol val="none"/>
        </c:marker>
        <c:dLbl>
          <c:idx val="0"/>
          <c:numFmt formatCode="[&gt;1]0.0;[&lt;1]mm:ss" sourceLinked="0"/>
          <c:spPr>
            <a:noFill/>
            <a:ln>
              <a:noFill/>
            </a:ln>
            <a:effectLst/>
          </c:spPr>
          <c:txPr>
            <a:bodyPr wrap="square" lIns="38100" tIns="19050" rIns="38100" bIns="19050" anchor="ctr">
              <a:spAutoFit/>
            </a:bodyPr>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702472"/>
          </a:solidFill>
        </c:spPr>
      </c:pivotFmt>
      <c:pivotFmt>
        <c:idx val="25"/>
        <c:spPr>
          <a:solidFill>
            <a:srgbClr val="702472"/>
          </a:solidFill>
        </c:spPr>
      </c:pivotFmt>
      <c:pivotFmt>
        <c:idx val="26"/>
        <c:spPr>
          <a:solidFill>
            <a:srgbClr val="702472"/>
          </a:solidFill>
        </c:spPr>
      </c:pivotFmt>
      <c:pivotFmt>
        <c:idx val="27"/>
        <c:spPr>
          <a:solidFill>
            <a:srgbClr val="702472"/>
          </a:solidFill>
        </c:spPr>
        <c:marker>
          <c:symbol val="none"/>
        </c:marker>
        <c:dLbl>
          <c:idx val="0"/>
          <c:numFmt formatCode="[&gt;1]0.0;[&lt;1]mm:ss" sourceLinked="0"/>
          <c:spPr>
            <a:noFill/>
            <a:ln>
              <a:noFill/>
            </a:ln>
            <a:effectLst/>
          </c:spPr>
          <c:txPr>
            <a:bodyPr wrap="square" lIns="38100" tIns="19050" rIns="38100" bIns="19050" anchor="ctr">
              <a:spAutoFit/>
            </a:bodyPr>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02472"/>
          </a:solidFill>
        </c:spPr>
      </c:pivotFmt>
      <c:pivotFmt>
        <c:idx val="29"/>
      </c:pivotFmt>
      <c:pivotFmt>
        <c:idx val="30"/>
      </c:pivotFmt>
      <c:pivotFmt>
        <c:idx val="31"/>
      </c:pivotFmt>
      <c:pivotFmt>
        <c:idx val="32"/>
      </c:pivotFmt>
      <c:pivotFmt>
        <c:idx val="33"/>
        <c:spPr>
          <a:solidFill>
            <a:srgbClr val="253268"/>
          </a:solidFill>
        </c:spPr>
      </c:pivotFmt>
      <c:pivotFmt>
        <c:idx val="34"/>
        <c:spPr>
          <a:solidFill>
            <a:srgbClr val="253268"/>
          </a:solidFill>
        </c:spPr>
      </c:pivotFmt>
      <c:pivotFmt>
        <c:idx val="35"/>
        <c:spPr>
          <a:solidFill>
            <a:srgbClr val="253268"/>
          </a:solidFill>
        </c:spPr>
      </c:pivotFmt>
      <c:pivotFmt>
        <c:idx val="36"/>
        <c:spPr>
          <a:solidFill>
            <a:srgbClr val="253268"/>
          </a:solidFill>
        </c:spPr>
      </c:pivotFmt>
      <c:pivotFmt>
        <c:idx val="37"/>
        <c:spPr>
          <a:solidFill>
            <a:srgbClr val="253268"/>
          </a:solidFill>
        </c:spPr>
      </c:pivotFmt>
    </c:pivotFmts>
    <c:plotArea>
      <c:layout/>
      <c:barChart>
        <c:barDir val="col"/>
        <c:grouping val="clustered"/>
        <c:varyColors val="0"/>
        <c:ser>
          <c:idx val="0"/>
          <c:order val="0"/>
          <c:tx>
            <c:strRef>
              <c:f>workings!$B$5</c:f>
              <c:strCache>
                <c:ptCount val="1"/>
                <c:pt idx="0">
                  <c:v>Total</c:v>
                </c:pt>
              </c:strCache>
            </c:strRef>
          </c:tx>
          <c:spPr>
            <a:solidFill>
              <a:srgbClr val="702472"/>
            </a:solidFill>
          </c:spPr>
          <c:invertIfNegative val="0"/>
          <c:dPt>
            <c:idx val="0"/>
            <c:invertIfNegative val="0"/>
            <c:bubble3D val="0"/>
            <c:spPr>
              <a:solidFill>
                <a:srgbClr val="253268"/>
              </a:solidFill>
            </c:spPr>
            <c:extLst>
              <c:ext xmlns:c16="http://schemas.microsoft.com/office/drawing/2014/chart" uri="{C3380CC4-5D6E-409C-BE32-E72D297353CC}">
                <c16:uniqueId val="{00000001-7FB5-429D-992F-B6B94AA6638C}"/>
              </c:ext>
            </c:extLst>
          </c:dPt>
          <c:dPt>
            <c:idx val="1"/>
            <c:invertIfNegative val="0"/>
            <c:bubble3D val="0"/>
            <c:spPr>
              <a:solidFill>
                <a:srgbClr val="253268"/>
              </a:solidFill>
            </c:spPr>
            <c:extLst>
              <c:ext xmlns:c16="http://schemas.microsoft.com/office/drawing/2014/chart" uri="{C3380CC4-5D6E-409C-BE32-E72D297353CC}">
                <c16:uniqueId val="{00000003-7FB5-429D-992F-B6B94AA6638C}"/>
              </c:ext>
            </c:extLst>
          </c:dPt>
          <c:dPt>
            <c:idx val="2"/>
            <c:invertIfNegative val="0"/>
            <c:bubble3D val="0"/>
            <c:spPr>
              <a:solidFill>
                <a:srgbClr val="253268"/>
              </a:solidFill>
            </c:spPr>
            <c:extLst>
              <c:ext xmlns:c16="http://schemas.microsoft.com/office/drawing/2014/chart" uri="{C3380CC4-5D6E-409C-BE32-E72D297353CC}">
                <c16:uniqueId val="{00000005-7FB5-429D-992F-B6B94AA6638C}"/>
              </c:ext>
            </c:extLst>
          </c:dPt>
          <c:dPt>
            <c:idx val="3"/>
            <c:invertIfNegative val="0"/>
            <c:bubble3D val="0"/>
            <c:spPr>
              <a:solidFill>
                <a:srgbClr val="253268"/>
              </a:solidFill>
            </c:spPr>
            <c:extLst>
              <c:ext xmlns:c16="http://schemas.microsoft.com/office/drawing/2014/chart" uri="{C3380CC4-5D6E-409C-BE32-E72D297353CC}">
                <c16:uniqueId val="{00000007-93B8-4FCD-8415-F7A426652B85}"/>
              </c:ext>
            </c:extLst>
          </c:dPt>
          <c:dPt>
            <c:idx val="4"/>
            <c:invertIfNegative val="0"/>
            <c:bubble3D val="0"/>
            <c:spPr>
              <a:solidFill>
                <a:srgbClr val="253268"/>
              </a:solidFill>
            </c:spPr>
            <c:extLst>
              <c:ext xmlns:c16="http://schemas.microsoft.com/office/drawing/2014/chart" uri="{C3380CC4-5D6E-409C-BE32-E72D297353CC}">
                <c16:uniqueId val="{00000009-93B8-4FCD-8415-F7A426652B85}"/>
              </c:ext>
            </c:extLst>
          </c:dPt>
          <c:dLbls>
            <c:numFmt formatCode="[&gt;1]0.0;[&lt;1]mm:ss" sourceLinked="0"/>
            <c:spPr>
              <a:noFill/>
              <a:ln>
                <a:noFill/>
              </a:ln>
              <a:effectLst/>
            </c:spPr>
            <c:txPr>
              <a:bodyPr wrap="square" lIns="38100" tIns="19050" rIns="38100" bIns="19050" anchor="ctr">
                <a:spAutoFit/>
              </a:bodyPr>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workings!$A$6:$A$12</c:f>
              <c:strCache>
                <c:ptCount val="7"/>
                <c:pt idx="0">
                  <c:v>2015-16</c:v>
                </c:pt>
                <c:pt idx="1">
                  <c:v>2016-17</c:v>
                </c:pt>
                <c:pt idx="2">
                  <c:v>2017-18</c:v>
                </c:pt>
                <c:pt idx="3">
                  <c:v>2018-19</c:v>
                </c:pt>
                <c:pt idx="4">
                  <c:v>2019-20</c:v>
                </c:pt>
                <c:pt idx="5">
                  <c:v>2022-23</c:v>
                </c:pt>
                <c:pt idx="6">
                  <c:v>2023-24</c:v>
                </c:pt>
              </c:strCache>
            </c:strRef>
          </c:cat>
          <c:val>
            <c:numRef>
              <c:f>workings!$B$6:$B$12</c:f>
              <c:numCache>
                <c:formatCode>0.0</c:formatCode>
                <c:ptCount val="7"/>
                <c:pt idx="0">
                  <c:v>89.3</c:v>
                </c:pt>
                <c:pt idx="1">
                  <c:v>89.1</c:v>
                </c:pt>
                <c:pt idx="2">
                  <c:v>88.7</c:v>
                </c:pt>
                <c:pt idx="3">
                  <c:v>88.4</c:v>
                </c:pt>
                <c:pt idx="4">
                  <c:v>89.2</c:v>
                </c:pt>
                <c:pt idx="5">
                  <c:v>73</c:v>
                </c:pt>
                <c:pt idx="6">
                  <c:v>71</c:v>
                </c:pt>
              </c:numCache>
            </c:numRef>
          </c:val>
          <c:extLst>
            <c:ext xmlns:c16="http://schemas.microsoft.com/office/drawing/2014/chart" uri="{C3380CC4-5D6E-409C-BE32-E72D297353CC}">
              <c16:uniqueId val="{00000008-3C3C-4D37-9A33-8F4C78281C35}"/>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0"/>
        <c:majorTickMark val="out"/>
        <c:minorTickMark val="none"/>
        <c:tickLblPos val="nextTo"/>
        <c:crossAx val="1049897983"/>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[nhaa-2024-table-5-outcome-meeting-the-needs-of-all-users.xlsx]workings!PivotTable31</c:name>
    <c:fmtId val="3"/>
  </c:pivotSource>
  <c:chart>
    <c:title>
      <c:tx>
        <c:strRef>
          <c:f>workings!$E$5</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9C46A3"/>
          </a:solidFill>
          <a:ln>
            <a:noFill/>
          </a:ln>
          <a:effectLst/>
        </c:spPr>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9C46A3"/>
          </a:solidFill>
          <a:ln>
            <a:noFill/>
          </a:ln>
          <a:effectLst/>
        </c:spPr>
      </c:pivotFmt>
      <c:pivotFmt>
        <c:idx val="32"/>
        <c:spPr>
          <a:solidFill>
            <a:srgbClr val="9C46A3"/>
          </a:solidFill>
          <a:ln>
            <a:noFill/>
          </a:ln>
          <a:effectLst/>
        </c:spPr>
      </c:pivotFmt>
      <c:pivotFmt>
        <c:idx val="33"/>
        <c:spPr>
          <a:solidFill>
            <a:srgbClr val="9C46A3"/>
          </a:solidFill>
          <a:ln>
            <a:noFill/>
          </a:ln>
          <a:effectLst/>
        </c:spPr>
      </c:pivotFmt>
      <c:pivotFmt>
        <c:idx val="34"/>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C46A3"/>
          </a:solidFill>
          <a:ln>
            <a:noFill/>
          </a:ln>
          <a:effectLst/>
        </c:spPr>
      </c:pivotFmt>
      <c:pivotFmt>
        <c:idx val="36"/>
        <c:spPr>
          <a:solidFill>
            <a:srgbClr val="A5AFD3"/>
          </a:solidFill>
          <a:ln>
            <a:noFill/>
          </a:ln>
          <a:effectLst/>
        </c:spPr>
      </c:pivotFmt>
      <c:pivotFmt>
        <c:idx val="37"/>
        <c:spPr>
          <a:solidFill>
            <a:srgbClr val="A5AFD3"/>
          </a:solidFill>
          <a:ln>
            <a:noFill/>
          </a:ln>
          <a:effectLst/>
        </c:spPr>
      </c:pivotFmt>
      <c:pivotFmt>
        <c:idx val="38"/>
        <c:spPr>
          <a:solidFill>
            <a:srgbClr val="A5AFD3"/>
          </a:solidFill>
          <a:ln>
            <a:noFill/>
          </a:ln>
          <a:effectLst/>
        </c:spPr>
      </c:pivotFmt>
      <c:pivotFmt>
        <c:idx val="39"/>
        <c:spPr>
          <a:solidFill>
            <a:srgbClr val="A5AFD3"/>
          </a:solidFill>
          <a:ln>
            <a:noFill/>
          </a:ln>
          <a:effectLst/>
        </c:spPr>
      </c:pivotFmt>
      <c:pivotFmt>
        <c:idx val="40"/>
        <c:spPr>
          <a:solidFill>
            <a:srgbClr val="A5AFD3"/>
          </a:solidFill>
          <a:ln>
            <a:noFill/>
          </a:ln>
          <a:effectLst/>
        </c:spPr>
      </c:pivotFmt>
      <c:pivotFmt>
        <c:idx val="41"/>
        <c:spPr>
          <a:solidFill>
            <a:srgbClr val="A5AFD3"/>
          </a:solidFill>
          <a:ln>
            <a:noFill/>
          </a:ln>
          <a:effectLst/>
        </c:spPr>
      </c:pivotFmt>
    </c:pivotFmts>
    <c:plotArea>
      <c:layout/>
      <c:barChart>
        <c:barDir val="col"/>
        <c:grouping val="clustered"/>
        <c:varyColors val="0"/>
        <c:ser>
          <c:idx val="0"/>
          <c:order val="0"/>
          <c:tx>
            <c:strRef>
              <c:f>workings!$E$5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B13A-443E-ABC9-2249183E2B61}"/>
              </c:ext>
            </c:extLst>
          </c:dPt>
          <c:dPt>
            <c:idx val="1"/>
            <c:invertIfNegative val="0"/>
            <c:bubble3D val="0"/>
            <c:extLst>
              <c:ext xmlns:c16="http://schemas.microsoft.com/office/drawing/2014/chart" uri="{C3380CC4-5D6E-409C-BE32-E72D297353CC}">
                <c16:uniqueId val="{00000003-B13A-443E-ABC9-2249183E2B61}"/>
              </c:ext>
            </c:extLst>
          </c:dPt>
          <c:dPt>
            <c:idx val="2"/>
            <c:invertIfNegative val="0"/>
            <c:bubble3D val="0"/>
            <c:extLst>
              <c:ext xmlns:c16="http://schemas.microsoft.com/office/drawing/2014/chart" uri="{C3380CC4-5D6E-409C-BE32-E72D297353CC}">
                <c16:uniqueId val="{00000005-B13A-443E-ABC9-2249183E2B61}"/>
              </c:ext>
            </c:extLst>
          </c:dPt>
          <c:dPt>
            <c:idx val="5"/>
            <c:invertIfNegative val="0"/>
            <c:bubble3D val="0"/>
            <c:spPr>
              <a:solidFill>
                <a:srgbClr val="9C46A3"/>
              </a:solidFill>
              <a:ln>
                <a:noFill/>
              </a:ln>
              <a:effectLst/>
            </c:spPr>
            <c:extLst>
              <c:ext xmlns:c16="http://schemas.microsoft.com/office/drawing/2014/chart" uri="{C3380CC4-5D6E-409C-BE32-E72D297353CC}">
                <c16:uniqueId val="{00000004-8845-4ECD-9802-5CC9E267539D}"/>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workings!$E$5</c:f>
              <c:strCache>
                <c:ptCount val="7"/>
                <c:pt idx="0">
                  <c:v>2015-16</c:v>
                </c:pt>
                <c:pt idx="1">
                  <c:v>2016-17</c:v>
                </c:pt>
                <c:pt idx="2">
                  <c:v>2017-18</c:v>
                </c:pt>
                <c:pt idx="3">
                  <c:v>2018-19</c:v>
                </c:pt>
                <c:pt idx="4">
                  <c:v>2019-20</c:v>
                </c:pt>
                <c:pt idx="5">
                  <c:v>2022-23</c:v>
                </c:pt>
                <c:pt idx="6">
                  <c:v>2023-24</c:v>
                </c:pt>
              </c:strCache>
            </c:strRef>
          </c:cat>
          <c:val>
            <c:numRef>
              <c:f>workings!$E$5</c:f>
              <c:numCache>
                <c:formatCode>0.0</c:formatCode>
                <c:ptCount val="7"/>
                <c:pt idx="0">
                  <c:v>86.09</c:v>
                </c:pt>
                <c:pt idx="1">
                  <c:v>87.99</c:v>
                </c:pt>
                <c:pt idx="2">
                  <c:v>88.3</c:v>
                </c:pt>
                <c:pt idx="3">
                  <c:v>91.12</c:v>
                </c:pt>
                <c:pt idx="4">
                  <c:v>92.63</c:v>
                </c:pt>
                <c:pt idx="5">
                  <c:v>72.900000000000006</c:v>
                </c:pt>
                <c:pt idx="6">
                  <c:v>0</c:v>
                </c:pt>
              </c:numCache>
            </c:numRef>
          </c:val>
          <c:extLst>
            <c:ext xmlns:c16="http://schemas.microsoft.com/office/drawing/2014/chart" uri="{C3380CC4-5D6E-409C-BE32-E72D297353CC}">
              <c16:uniqueId val="{00000008-03EB-4BBE-BB30-9CDF1A2F87B4}"/>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[nhaa-2024-table-5-outcome-meeting-the-needs-of-all-users.xlsx]workings!PivotTable32</c:name>
    <c:fmtId val="3"/>
  </c:pivotSource>
  <c:chart>
    <c:title>
      <c:tx>
        <c:strRef>
          <c:f>workings!$H$5</c:f>
          <c:strCache>
            <c:ptCount val="1"/>
            <c:pt idx="0">
              <c:v> North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C46A3"/>
          </a:solidFill>
          <a:ln>
            <a:noFill/>
          </a:ln>
          <a:effectLst/>
        </c:spPr>
      </c:pivotFmt>
      <c:pivotFmt>
        <c:idx val="36"/>
        <c:spPr>
          <a:solidFill>
            <a:srgbClr val="9C46A3"/>
          </a:solidFill>
          <a:ln>
            <a:noFill/>
          </a:ln>
          <a:effectLst/>
        </c:spPr>
      </c:pivotFmt>
      <c:pivotFmt>
        <c:idx val="37"/>
        <c:spPr>
          <a:solidFill>
            <a:srgbClr val="9C46A3"/>
          </a:solidFill>
          <a:ln>
            <a:noFill/>
          </a:ln>
          <a:effectLst/>
        </c:spPr>
      </c:pivotFmt>
      <c:pivotFmt>
        <c:idx val="38"/>
        <c:spPr>
          <a:solidFill>
            <a:srgbClr val="9C46A3"/>
          </a:solidFill>
          <a:ln>
            <a:noFill/>
          </a:ln>
          <a:effectLst/>
        </c:spPr>
      </c:pivotFmt>
      <c:pivotFmt>
        <c:idx val="39"/>
        <c:spPr>
          <a:solidFill>
            <a:srgbClr val="9C46A3"/>
          </a:solidFill>
          <a:ln>
            <a:noFill/>
          </a:ln>
          <a:effectLst/>
        </c:spPr>
      </c:pivotFmt>
      <c:pivotFmt>
        <c:idx val="40"/>
        <c:spPr>
          <a:solidFill>
            <a:srgbClr val="9C46A3"/>
          </a:solidFill>
          <a:ln>
            <a:noFill/>
          </a:ln>
          <a:effectLst/>
        </c:spPr>
      </c:pivotFmt>
      <c:pivotFmt>
        <c:idx val="41"/>
        <c:spPr>
          <a:solidFill>
            <a:srgbClr val="9C46A3"/>
          </a:solidFill>
          <a:ln>
            <a:noFill/>
          </a:ln>
          <a:effectLst/>
        </c:spPr>
      </c:pivotFmt>
      <c:pivotFmt>
        <c:idx val="42"/>
        <c:spPr>
          <a:solidFill>
            <a:srgbClr val="A5AFD3"/>
          </a:solidFill>
          <a:ln>
            <a:noFill/>
          </a:ln>
          <a:effectLst/>
        </c:spPr>
      </c:pivotFmt>
      <c:pivotFmt>
        <c:idx val="43"/>
        <c:spPr>
          <a:solidFill>
            <a:srgbClr val="A5AFD3"/>
          </a:solidFill>
          <a:ln>
            <a:noFill/>
          </a:ln>
          <a:effectLst/>
        </c:spPr>
      </c:pivotFmt>
      <c:pivotFmt>
        <c:idx val="44"/>
        <c:spPr>
          <a:solidFill>
            <a:srgbClr val="A5AFD3"/>
          </a:solidFill>
          <a:ln>
            <a:noFill/>
          </a:ln>
          <a:effectLst/>
        </c:spPr>
      </c:pivotFmt>
      <c:pivotFmt>
        <c:idx val="45"/>
        <c:spPr>
          <a:solidFill>
            <a:srgbClr val="A5AFD3"/>
          </a:solidFill>
          <a:ln>
            <a:noFill/>
          </a:ln>
          <a:effectLst/>
        </c:spPr>
      </c:pivotFmt>
      <c:pivotFmt>
        <c:idx val="46"/>
        <c:spPr>
          <a:solidFill>
            <a:srgbClr val="A5AFD3"/>
          </a:solidFill>
          <a:ln>
            <a:noFill/>
          </a:ln>
          <a:effectLst/>
        </c:spPr>
      </c:pivotFmt>
      <c:pivotFmt>
        <c:idx val="47"/>
        <c:spPr>
          <a:solidFill>
            <a:srgbClr val="A5AFD3"/>
          </a:solidFill>
          <a:ln>
            <a:noFill/>
          </a:ln>
          <a:effectLst/>
        </c:spPr>
      </c:pivotFmt>
    </c:pivotFmts>
    <c:plotArea>
      <c:layout/>
      <c:barChart>
        <c:barDir val="col"/>
        <c:grouping val="clustered"/>
        <c:varyColors val="0"/>
        <c:ser>
          <c:idx val="0"/>
          <c:order val="0"/>
          <c:tx>
            <c:strRef>
              <c:f>workings!$H$5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7DD4-4012-914B-035A72C66E8F}"/>
              </c:ext>
            </c:extLst>
          </c:dPt>
          <c:dPt>
            <c:idx val="1"/>
            <c:invertIfNegative val="0"/>
            <c:bubble3D val="0"/>
            <c:extLst>
              <c:ext xmlns:c16="http://schemas.microsoft.com/office/drawing/2014/chart" uri="{C3380CC4-5D6E-409C-BE32-E72D297353CC}">
                <c16:uniqueId val="{00000003-7DD4-4012-914B-035A72C66E8F}"/>
              </c:ext>
            </c:extLst>
          </c:dPt>
          <c:dPt>
            <c:idx val="2"/>
            <c:invertIfNegative val="0"/>
            <c:bubble3D val="0"/>
            <c:extLst>
              <c:ext xmlns:c16="http://schemas.microsoft.com/office/drawing/2014/chart" uri="{C3380CC4-5D6E-409C-BE32-E72D297353CC}">
                <c16:uniqueId val="{00000005-7DD4-4012-914B-035A72C66E8F}"/>
              </c:ext>
            </c:extLst>
          </c:dPt>
          <c:dPt>
            <c:idx val="5"/>
            <c:invertIfNegative val="0"/>
            <c:bubble3D val="0"/>
            <c:spPr>
              <a:solidFill>
                <a:srgbClr val="9C46A3"/>
              </a:solidFill>
              <a:ln>
                <a:noFill/>
              </a:ln>
              <a:effectLst/>
            </c:spPr>
            <c:extLst>
              <c:ext xmlns:c16="http://schemas.microsoft.com/office/drawing/2014/chart" uri="{C3380CC4-5D6E-409C-BE32-E72D297353CC}">
                <c16:uniqueId val="{00000004-8377-41AA-9DBE-337C3D3F97B5}"/>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7"/>
                <c:pt idx="0">
                  <c:v>2015-16</c:v>
                </c:pt>
                <c:pt idx="1">
                  <c:v>2016-17</c:v>
                </c:pt>
                <c:pt idx="2">
                  <c:v>2017-18</c:v>
                </c:pt>
                <c:pt idx="3">
                  <c:v>2018-19</c:v>
                </c:pt>
                <c:pt idx="4">
                  <c:v>2019-20</c:v>
                </c:pt>
                <c:pt idx="5">
                  <c:v>2022-23</c:v>
                </c:pt>
                <c:pt idx="6">
                  <c:v>2023-24</c:v>
                </c:pt>
              </c:strCache>
            </c:strRef>
          </c:cat>
          <c:val>
            <c:numRef>
              <c:f>workings!$H$5</c:f>
              <c:numCache>
                <c:formatCode>0.0</c:formatCode>
                <c:ptCount val="7"/>
                <c:pt idx="0">
                  <c:v>83.54</c:v>
                </c:pt>
                <c:pt idx="1">
                  <c:v>82.99</c:v>
                </c:pt>
                <c:pt idx="2">
                  <c:v>77.900000000000006</c:v>
                </c:pt>
                <c:pt idx="3">
                  <c:v>84</c:v>
                </c:pt>
                <c:pt idx="4">
                  <c:v>85.22</c:v>
                </c:pt>
                <c:pt idx="5">
                  <c:v>69.599999999999994</c:v>
                </c:pt>
                <c:pt idx="6">
                  <c:v>0</c:v>
                </c:pt>
              </c:numCache>
            </c:numRef>
          </c:val>
          <c:extLst>
            <c:ext xmlns:c16="http://schemas.microsoft.com/office/drawing/2014/chart" uri="{C3380CC4-5D6E-409C-BE32-E72D297353CC}">
              <c16:uniqueId val="{00000008-4948-4ACE-928E-94D58C719612}"/>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[nhaa-2024-table-5-outcome-meeting-the-needs-of-all-users.xlsx]workings!PivotTable33</c:name>
    <c:fmtId val="3"/>
  </c:pivotSource>
  <c:chart>
    <c:title>
      <c:tx>
        <c:strRef>
          <c:f>workings!$K$5</c:f>
          <c:strCache>
            <c:ptCount val="1"/>
            <c:pt idx="0">
              <c:v> Midlands</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C46A3"/>
          </a:solidFill>
          <a:ln>
            <a:noFill/>
          </a:ln>
          <a:effectLst/>
        </c:spPr>
      </c:pivotFmt>
      <c:pivotFmt>
        <c:idx val="40"/>
        <c:spPr>
          <a:solidFill>
            <a:srgbClr val="9C46A3"/>
          </a:solidFill>
          <a:ln>
            <a:noFill/>
          </a:ln>
          <a:effectLst/>
        </c:spPr>
      </c:pivotFmt>
      <c:pivotFmt>
        <c:idx val="41"/>
        <c:spPr>
          <a:solidFill>
            <a:srgbClr val="9C46A3"/>
          </a:solidFill>
          <a:ln>
            <a:noFill/>
          </a:ln>
          <a:effectLst/>
        </c:spPr>
      </c:pivotFmt>
      <c:pivotFmt>
        <c:idx val="42"/>
        <c:spPr>
          <a:solidFill>
            <a:srgbClr val="9C46A3"/>
          </a:solidFill>
          <a:ln>
            <a:noFill/>
          </a:ln>
          <a:effectLst/>
        </c:spPr>
      </c:pivotFmt>
      <c:pivotFmt>
        <c:idx val="43"/>
        <c:spPr>
          <a:solidFill>
            <a:srgbClr val="9C46A3"/>
          </a:solidFill>
          <a:ln>
            <a:noFill/>
          </a:ln>
          <a:effectLst/>
        </c:spPr>
      </c:pivotFmt>
      <c:pivotFmt>
        <c:idx val="44"/>
        <c:spPr>
          <a:solidFill>
            <a:srgbClr val="9C46A3"/>
          </a:solidFill>
          <a:ln>
            <a:noFill/>
          </a:ln>
          <a:effectLst/>
        </c:spPr>
      </c:pivotFmt>
      <c:pivotFmt>
        <c:idx val="45"/>
        <c:spPr>
          <a:solidFill>
            <a:srgbClr val="9C46A3"/>
          </a:solidFill>
          <a:ln>
            <a:noFill/>
          </a:ln>
          <a:effectLst/>
        </c:spPr>
      </c:pivotFmt>
      <c:pivotFmt>
        <c:idx val="46"/>
        <c:spPr>
          <a:solidFill>
            <a:srgbClr val="A5AFD3"/>
          </a:solidFill>
          <a:ln>
            <a:noFill/>
          </a:ln>
          <a:effectLst/>
        </c:spPr>
      </c:pivotFmt>
      <c:pivotFmt>
        <c:idx val="47"/>
        <c:spPr>
          <a:solidFill>
            <a:srgbClr val="A5AFD3"/>
          </a:solidFill>
          <a:ln>
            <a:noFill/>
          </a:ln>
          <a:effectLst/>
        </c:spPr>
      </c:pivotFmt>
      <c:pivotFmt>
        <c:idx val="48"/>
        <c:spPr>
          <a:solidFill>
            <a:srgbClr val="A5AFD3"/>
          </a:solidFill>
          <a:ln>
            <a:noFill/>
          </a:ln>
          <a:effectLst/>
        </c:spPr>
      </c:pivotFmt>
      <c:pivotFmt>
        <c:idx val="49"/>
        <c:spPr>
          <a:solidFill>
            <a:srgbClr val="A5AFD3"/>
          </a:solidFill>
          <a:ln>
            <a:noFill/>
          </a:ln>
          <a:effectLst/>
        </c:spPr>
      </c:pivotFmt>
      <c:pivotFmt>
        <c:idx val="50"/>
        <c:spPr>
          <a:solidFill>
            <a:srgbClr val="A5AFD3"/>
          </a:solidFill>
          <a:ln>
            <a:noFill/>
          </a:ln>
          <a:effectLst/>
        </c:spPr>
      </c:pivotFmt>
      <c:pivotFmt>
        <c:idx val="51"/>
        <c:spPr>
          <a:solidFill>
            <a:srgbClr val="A5AFD3"/>
          </a:solidFill>
          <a:ln>
            <a:noFill/>
          </a:ln>
          <a:effectLst/>
        </c:spPr>
      </c:pivotFmt>
    </c:pivotFmts>
    <c:plotArea>
      <c:layout/>
      <c:barChart>
        <c:barDir val="col"/>
        <c:grouping val="clustered"/>
        <c:varyColors val="0"/>
        <c:ser>
          <c:idx val="0"/>
          <c:order val="0"/>
          <c:tx>
            <c:strRef>
              <c:f>workings!$K$5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926C-4B80-A558-0825EF60BCAB}"/>
              </c:ext>
            </c:extLst>
          </c:dPt>
          <c:dPt>
            <c:idx val="1"/>
            <c:invertIfNegative val="0"/>
            <c:bubble3D val="0"/>
            <c:extLst>
              <c:ext xmlns:c16="http://schemas.microsoft.com/office/drawing/2014/chart" uri="{C3380CC4-5D6E-409C-BE32-E72D297353CC}">
                <c16:uniqueId val="{00000003-926C-4B80-A558-0825EF60BCAB}"/>
              </c:ext>
            </c:extLst>
          </c:dPt>
          <c:dPt>
            <c:idx val="2"/>
            <c:invertIfNegative val="0"/>
            <c:bubble3D val="0"/>
            <c:extLst>
              <c:ext xmlns:c16="http://schemas.microsoft.com/office/drawing/2014/chart" uri="{C3380CC4-5D6E-409C-BE32-E72D297353CC}">
                <c16:uniqueId val="{00000005-926C-4B80-A558-0825EF60BCAB}"/>
              </c:ext>
            </c:extLst>
          </c:dPt>
          <c:dPt>
            <c:idx val="5"/>
            <c:invertIfNegative val="0"/>
            <c:bubble3D val="0"/>
            <c:spPr>
              <a:solidFill>
                <a:srgbClr val="9C46A3"/>
              </a:solidFill>
              <a:ln>
                <a:noFill/>
              </a:ln>
              <a:effectLst/>
            </c:spPr>
            <c:extLst>
              <c:ext xmlns:c16="http://schemas.microsoft.com/office/drawing/2014/chart" uri="{C3380CC4-5D6E-409C-BE32-E72D297353CC}">
                <c16:uniqueId val="{00000004-6619-4A46-ACF2-CBAC597A25B4}"/>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7"/>
                <c:pt idx="0">
                  <c:v>2015-16</c:v>
                </c:pt>
                <c:pt idx="1">
                  <c:v>2016-17</c:v>
                </c:pt>
                <c:pt idx="2">
                  <c:v>2017-18</c:v>
                </c:pt>
                <c:pt idx="3">
                  <c:v>2018-19</c:v>
                </c:pt>
                <c:pt idx="4">
                  <c:v>2019-20</c:v>
                </c:pt>
                <c:pt idx="5">
                  <c:v>2022-23</c:v>
                </c:pt>
                <c:pt idx="6">
                  <c:v>2023-24</c:v>
                </c:pt>
              </c:strCache>
            </c:strRef>
          </c:cat>
          <c:val>
            <c:numRef>
              <c:f>workings!$K$5</c:f>
              <c:numCache>
                <c:formatCode>0.0</c:formatCode>
                <c:ptCount val="7"/>
                <c:pt idx="0">
                  <c:v>89.05</c:v>
                </c:pt>
                <c:pt idx="1">
                  <c:v>86.839999999999989</c:v>
                </c:pt>
                <c:pt idx="2">
                  <c:v>88.6</c:v>
                </c:pt>
                <c:pt idx="3">
                  <c:v>88.26</c:v>
                </c:pt>
                <c:pt idx="4">
                  <c:v>89.89</c:v>
                </c:pt>
                <c:pt idx="5">
                  <c:v>72.7</c:v>
                </c:pt>
                <c:pt idx="6">
                  <c:v>0</c:v>
                </c:pt>
              </c:numCache>
            </c:numRef>
          </c:val>
          <c:extLst>
            <c:ext xmlns:c16="http://schemas.microsoft.com/office/drawing/2014/chart" uri="{C3380CC4-5D6E-409C-BE32-E72D297353CC}">
              <c16:uniqueId val="{00000008-B6DD-4CCD-9E8E-3903215EE69B}"/>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[nhaa-2024-table-5-outcome-meeting-the-needs-of-all-users.xlsx]workings!PivotTable34</c:name>
    <c:fmtId val="3"/>
  </c:pivotSource>
  <c:chart>
    <c:title>
      <c:tx>
        <c:strRef>
          <c:f>workings!$N$5</c:f>
          <c:strCache>
            <c:ptCount val="1"/>
            <c:pt idx="0">
              <c:v>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702472"/>
          </a:solidFill>
          <a:ln>
            <a:noFill/>
          </a:ln>
          <a:effectLst/>
        </c:spPr>
      </c:pivotFmt>
      <c:pivotFmt>
        <c:idx val="1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392C3"/>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9C46A3"/>
          </a:solidFill>
          <a:ln>
            <a:noFill/>
          </a:ln>
          <a:effectLst/>
        </c:spPr>
      </c:pivotFmt>
      <c:pivotFmt>
        <c:idx val="26"/>
        <c:spPr>
          <a:solidFill>
            <a:srgbClr val="9C46A3"/>
          </a:solidFill>
          <a:ln>
            <a:noFill/>
          </a:ln>
          <a:effectLst/>
        </c:spPr>
      </c:pivotFmt>
      <c:pivotFmt>
        <c:idx val="27"/>
        <c:spPr>
          <a:solidFill>
            <a:srgbClr val="9C46A3"/>
          </a:solidFill>
          <a:ln>
            <a:noFill/>
          </a:ln>
          <a:effectLst/>
        </c:spPr>
      </c:pivotFmt>
      <c:pivotFmt>
        <c:idx val="28"/>
        <c:spPr>
          <a:solidFill>
            <a:srgbClr val="A5AFD3"/>
          </a:solidFill>
          <a:ln>
            <a:noFill/>
          </a:ln>
          <a:effectLst/>
        </c:spPr>
      </c:pivotFmt>
      <c:pivotFmt>
        <c:idx val="29"/>
        <c:spPr>
          <a:solidFill>
            <a:srgbClr val="A5AFD3"/>
          </a:solidFill>
          <a:ln>
            <a:noFill/>
          </a:ln>
          <a:effectLst/>
        </c:spPr>
      </c:pivotFmt>
      <c:pivotFmt>
        <c:idx val="30"/>
        <c:spPr>
          <a:solidFill>
            <a:srgbClr val="A5AFD3"/>
          </a:solidFill>
          <a:ln>
            <a:noFill/>
          </a:ln>
          <a:effectLst/>
        </c:spPr>
      </c:pivotFmt>
      <c:pivotFmt>
        <c:idx val="31"/>
        <c:spPr>
          <a:solidFill>
            <a:srgbClr val="A5AFD3"/>
          </a:solidFill>
          <a:ln>
            <a:noFill/>
          </a:ln>
          <a:effectLst/>
        </c:spPr>
      </c:pivotFmt>
      <c:pivotFmt>
        <c:idx val="32"/>
        <c:spPr>
          <a:solidFill>
            <a:srgbClr val="A5AFD3"/>
          </a:solidFill>
          <a:ln>
            <a:noFill/>
          </a:ln>
          <a:effectLst/>
        </c:spPr>
      </c:pivotFmt>
      <c:pivotFmt>
        <c:idx val="33"/>
        <c:spPr>
          <a:solidFill>
            <a:srgbClr val="A5AFD3"/>
          </a:solidFill>
          <a:ln>
            <a:noFill/>
          </a:ln>
          <a:effectLst/>
        </c:spPr>
      </c:pivotFmt>
      <c:pivotFmt>
        <c:idx val="34"/>
        <c:spPr>
          <a:solidFill>
            <a:srgbClr val="A5AFD3"/>
          </a:solidFill>
          <a:ln>
            <a:noFill/>
          </a:ln>
          <a:effectLst/>
        </c:spPr>
      </c:pivotFmt>
    </c:pivotFmts>
    <c:plotArea>
      <c:layout/>
      <c:barChart>
        <c:barDir val="col"/>
        <c:grouping val="clustered"/>
        <c:varyColors val="0"/>
        <c:ser>
          <c:idx val="0"/>
          <c:order val="0"/>
          <c:tx>
            <c:strRef>
              <c:f>workings!$N$5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1E4C-4763-8005-942F36E0EF07}"/>
              </c:ext>
            </c:extLst>
          </c:dPt>
          <c:dPt>
            <c:idx val="1"/>
            <c:invertIfNegative val="0"/>
            <c:bubble3D val="0"/>
            <c:extLst>
              <c:ext xmlns:c16="http://schemas.microsoft.com/office/drawing/2014/chart" uri="{C3380CC4-5D6E-409C-BE32-E72D297353CC}">
                <c16:uniqueId val="{00000003-1E4C-4763-8005-942F36E0EF07}"/>
              </c:ext>
            </c:extLst>
          </c:dPt>
          <c:dPt>
            <c:idx val="2"/>
            <c:invertIfNegative val="0"/>
            <c:bubble3D val="0"/>
            <c:extLst>
              <c:ext xmlns:c16="http://schemas.microsoft.com/office/drawing/2014/chart" uri="{C3380CC4-5D6E-409C-BE32-E72D297353CC}">
                <c16:uniqueId val="{00000005-1E4C-4763-8005-942F36E0EF07}"/>
              </c:ext>
            </c:extLst>
          </c:dPt>
          <c:dPt>
            <c:idx val="3"/>
            <c:invertIfNegative val="0"/>
            <c:bubble3D val="0"/>
            <c:extLst>
              <c:ext xmlns:c16="http://schemas.microsoft.com/office/drawing/2014/chart" uri="{C3380CC4-5D6E-409C-BE32-E72D297353CC}">
                <c16:uniqueId val="{00000003-C65E-4CF6-A4DF-07A28C7F8A1B}"/>
              </c:ext>
            </c:extLst>
          </c:dPt>
          <c:dPt>
            <c:idx val="4"/>
            <c:invertIfNegative val="0"/>
            <c:bubble3D val="0"/>
            <c:extLst>
              <c:ext xmlns:c16="http://schemas.microsoft.com/office/drawing/2014/chart" uri="{C3380CC4-5D6E-409C-BE32-E72D297353CC}">
                <c16:uniqueId val="{00000004-C65E-4CF6-A4DF-07A28C7F8A1B}"/>
              </c:ext>
            </c:extLst>
          </c:dPt>
          <c:dPt>
            <c:idx val="5"/>
            <c:invertIfNegative val="0"/>
            <c:bubble3D val="0"/>
            <c:extLst>
              <c:ext xmlns:c16="http://schemas.microsoft.com/office/drawing/2014/chart" uri="{C3380CC4-5D6E-409C-BE32-E72D297353CC}">
                <c16:uniqueId val="{00000004-98CF-4E30-9A59-6B11EDF68DB7}"/>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7"/>
                <c:pt idx="0">
                  <c:v>2015-16</c:v>
                </c:pt>
                <c:pt idx="1">
                  <c:v>2016-17</c:v>
                </c:pt>
                <c:pt idx="2">
                  <c:v>2017-18</c:v>
                </c:pt>
                <c:pt idx="3">
                  <c:v>2018-19</c:v>
                </c:pt>
                <c:pt idx="4">
                  <c:v>2019-20</c:v>
                </c:pt>
                <c:pt idx="5">
                  <c:v>2022-23</c:v>
                </c:pt>
                <c:pt idx="6">
                  <c:v>2023-24</c:v>
                </c:pt>
              </c:strCache>
            </c:strRef>
          </c:cat>
          <c:val>
            <c:numRef>
              <c:f>workings!$N$5</c:f>
              <c:numCache>
                <c:formatCode>0.0</c:formatCode>
                <c:ptCount val="7"/>
                <c:pt idx="0">
                  <c:v>91.75</c:v>
                </c:pt>
                <c:pt idx="1">
                  <c:v>91.05</c:v>
                </c:pt>
                <c:pt idx="2">
                  <c:v>90.3</c:v>
                </c:pt>
                <c:pt idx="3">
                  <c:v>90.29</c:v>
                </c:pt>
                <c:pt idx="4">
                  <c:v>88.160000000000011</c:v>
                </c:pt>
                <c:pt idx="5">
                  <c:v>72.2</c:v>
                </c:pt>
                <c:pt idx="6">
                  <c:v>0</c:v>
                </c:pt>
              </c:numCache>
            </c:numRef>
          </c:val>
          <c:extLst>
            <c:ext xmlns:c16="http://schemas.microsoft.com/office/drawing/2014/chart" uri="{C3380CC4-5D6E-409C-BE32-E72D297353CC}">
              <c16:uniqueId val="{00000008-4313-49D4-A6AB-8946573FC418}"/>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[nhaa-2024-table-5-outcome-meeting-the-needs-of-all-users.xlsx]workings!PivotTable35</c:name>
    <c:fmtId val="3"/>
  </c:pivotSource>
  <c:chart>
    <c:title>
      <c:tx>
        <c:strRef>
          <c:f>workings!$Q$5</c:f>
          <c:strCache>
            <c:ptCount val="1"/>
            <c:pt idx="0">
              <c:v> South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9C46A3"/>
          </a:solidFill>
          <a:ln>
            <a:noFill/>
          </a:ln>
          <a:effectLst/>
        </c:spPr>
      </c:pivotFmt>
      <c:pivotFmt>
        <c:idx val="25"/>
        <c:spPr>
          <a:solidFill>
            <a:srgbClr val="9C46A3"/>
          </a:solidFill>
          <a:ln>
            <a:noFill/>
          </a:ln>
          <a:effectLst/>
        </c:spPr>
      </c:pivotFmt>
      <c:pivotFmt>
        <c:idx val="26"/>
        <c:spPr>
          <a:solidFill>
            <a:srgbClr val="A5AFD3"/>
          </a:solidFill>
          <a:ln>
            <a:noFill/>
          </a:ln>
          <a:effectLst/>
        </c:spPr>
      </c:pivotFmt>
      <c:pivotFmt>
        <c:idx val="27"/>
        <c:spPr>
          <a:solidFill>
            <a:srgbClr val="9C46A3"/>
          </a:solidFill>
          <a:ln>
            <a:noFill/>
          </a:ln>
          <a:effectLst/>
        </c:spPr>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A5AFD3"/>
          </a:solidFill>
          <a:ln>
            <a:noFill/>
          </a:ln>
          <a:effectLst/>
        </c:spPr>
      </c:pivotFmt>
      <c:pivotFmt>
        <c:idx val="32"/>
        <c:spPr>
          <a:solidFill>
            <a:srgbClr val="A5AFD3"/>
          </a:solidFill>
          <a:ln>
            <a:noFill/>
          </a:ln>
          <a:effectLst/>
        </c:spPr>
      </c:pivotFmt>
      <c:pivotFmt>
        <c:idx val="33"/>
        <c:spPr>
          <a:solidFill>
            <a:srgbClr val="A5AFD3"/>
          </a:solidFill>
          <a:ln>
            <a:noFill/>
          </a:ln>
          <a:effectLst/>
        </c:spPr>
      </c:pivotFmt>
      <c:pivotFmt>
        <c:idx val="34"/>
        <c:spPr>
          <a:solidFill>
            <a:srgbClr val="A5AFD3"/>
          </a:solidFill>
          <a:ln>
            <a:noFill/>
          </a:ln>
          <a:effectLst/>
        </c:spPr>
      </c:pivotFmt>
      <c:pivotFmt>
        <c:idx val="35"/>
        <c:spPr>
          <a:solidFill>
            <a:srgbClr val="A5AFD3"/>
          </a:solidFill>
          <a:ln>
            <a:noFill/>
          </a:ln>
          <a:effectLst/>
        </c:spPr>
      </c:pivotFmt>
      <c:pivotFmt>
        <c:idx val="36"/>
        <c:spPr>
          <a:solidFill>
            <a:srgbClr val="A5AFD3"/>
          </a:solidFill>
          <a:ln>
            <a:noFill/>
          </a:ln>
          <a:effectLst/>
        </c:spPr>
      </c:pivotFmt>
    </c:pivotFmts>
    <c:plotArea>
      <c:layout/>
      <c:barChart>
        <c:barDir val="col"/>
        <c:grouping val="clustered"/>
        <c:varyColors val="0"/>
        <c:ser>
          <c:idx val="0"/>
          <c:order val="0"/>
          <c:tx>
            <c:strRef>
              <c:f>workings!$Q$5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3DC3-4C46-B5D1-5A5017F123EA}"/>
              </c:ext>
            </c:extLst>
          </c:dPt>
          <c:dPt>
            <c:idx val="1"/>
            <c:invertIfNegative val="0"/>
            <c:bubble3D val="0"/>
            <c:extLst>
              <c:ext xmlns:c16="http://schemas.microsoft.com/office/drawing/2014/chart" uri="{C3380CC4-5D6E-409C-BE32-E72D297353CC}">
                <c16:uniqueId val="{00000003-3DC3-4C46-B5D1-5A5017F123EA}"/>
              </c:ext>
            </c:extLst>
          </c:dPt>
          <c:dPt>
            <c:idx val="2"/>
            <c:invertIfNegative val="0"/>
            <c:bubble3D val="0"/>
            <c:extLst>
              <c:ext xmlns:c16="http://schemas.microsoft.com/office/drawing/2014/chart" uri="{C3380CC4-5D6E-409C-BE32-E72D297353CC}">
                <c16:uniqueId val="{00000005-3DC3-4C46-B5D1-5A5017F123EA}"/>
              </c:ext>
            </c:extLst>
          </c:dPt>
          <c:dPt>
            <c:idx val="5"/>
            <c:invertIfNegative val="0"/>
            <c:bubble3D val="0"/>
            <c:extLst>
              <c:ext xmlns:c16="http://schemas.microsoft.com/office/drawing/2014/chart" uri="{C3380CC4-5D6E-409C-BE32-E72D297353CC}">
                <c16:uniqueId val="{00000004-2C07-4180-8D9C-711E273EED34}"/>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7"/>
                <c:pt idx="0">
                  <c:v>2015-16</c:v>
                </c:pt>
                <c:pt idx="1">
                  <c:v>2016-17</c:v>
                </c:pt>
                <c:pt idx="2">
                  <c:v>2017-18</c:v>
                </c:pt>
                <c:pt idx="3">
                  <c:v>2018-19</c:v>
                </c:pt>
                <c:pt idx="4">
                  <c:v>2019-20</c:v>
                </c:pt>
                <c:pt idx="5">
                  <c:v>2022-23</c:v>
                </c:pt>
                <c:pt idx="6">
                  <c:v>2023-24</c:v>
                </c:pt>
              </c:strCache>
            </c:strRef>
          </c:cat>
          <c:val>
            <c:numRef>
              <c:f>workings!$Q$5</c:f>
              <c:numCache>
                <c:formatCode>0.0</c:formatCode>
                <c:ptCount val="7"/>
                <c:pt idx="0">
                  <c:v>89.070000000000007</c:v>
                </c:pt>
                <c:pt idx="1">
                  <c:v>88.460000000000008</c:v>
                </c:pt>
                <c:pt idx="2">
                  <c:v>90.8</c:v>
                </c:pt>
                <c:pt idx="3">
                  <c:v>86.429999999999993</c:v>
                </c:pt>
                <c:pt idx="4">
                  <c:v>88.69</c:v>
                </c:pt>
                <c:pt idx="5">
                  <c:v>71.5</c:v>
                </c:pt>
                <c:pt idx="6">
                  <c:v>0</c:v>
                </c:pt>
              </c:numCache>
            </c:numRef>
          </c:val>
          <c:extLst>
            <c:ext xmlns:c16="http://schemas.microsoft.com/office/drawing/2014/chart" uri="{C3380CC4-5D6E-409C-BE32-E72D297353CC}">
              <c16:uniqueId val="{00000008-4381-4D41-89F2-C5260137CDA3}"/>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[nhaa-2024-table-5-outcome-meeting-the-needs-of-all-users.xlsx]workings!PivotTable36</c:name>
    <c:fmtId val="3"/>
  </c:pivotSource>
  <c:chart>
    <c:title>
      <c:tx>
        <c:strRef>
          <c:f>workings!$T$5</c:f>
          <c:strCache>
            <c:ptCount val="1"/>
            <c:pt idx="0">
              <c:v> South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9C46A3"/>
          </a:solidFill>
          <a:ln>
            <a:noFill/>
          </a:ln>
          <a:effectLst/>
        </c:spPr>
      </c:pivotFmt>
      <c:pivotFmt>
        <c:idx val="25"/>
        <c:spPr>
          <a:solidFill>
            <a:srgbClr val="9C46A3"/>
          </a:solidFill>
          <a:ln>
            <a:noFill/>
          </a:ln>
          <a:effectLst/>
        </c:spPr>
      </c:pivotFmt>
      <c:pivotFmt>
        <c:idx val="26"/>
        <c:spPr>
          <a:solidFill>
            <a:srgbClr val="A5AFD3"/>
          </a:solidFill>
          <a:ln>
            <a:noFill/>
          </a:ln>
          <a:effectLst/>
        </c:spPr>
      </c:pivotFmt>
      <c:pivotFmt>
        <c:idx val="27"/>
        <c:spPr>
          <a:solidFill>
            <a:srgbClr val="9C46A3"/>
          </a:solidFill>
          <a:ln>
            <a:noFill/>
          </a:ln>
          <a:effectLst/>
        </c:spPr>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A5AFD3"/>
          </a:solidFill>
          <a:ln>
            <a:noFill/>
          </a:ln>
          <a:effectLst/>
        </c:spPr>
      </c:pivotFmt>
      <c:pivotFmt>
        <c:idx val="32"/>
        <c:spPr>
          <a:solidFill>
            <a:srgbClr val="A5AFD3"/>
          </a:solidFill>
          <a:ln>
            <a:noFill/>
          </a:ln>
          <a:effectLst/>
        </c:spPr>
      </c:pivotFmt>
      <c:pivotFmt>
        <c:idx val="33"/>
        <c:spPr>
          <a:solidFill>
            <a:srgbClr val="A5AFD3"/>
          </a:solidFill>
          <a:ln>
            <a:noFill/>
          </a:ln>
          <a:effectLst/>
        </c:spPr>
      </c:pivotFmt>
      <c:pivotFmt>
        <c:idx val="34"/>
        <c:spPr>
          <a:solidFill>
            <a:srgbClr val="A5AFD3"/>
          </a:solidFill>
          <a:ln>
            <a:noFill/>
          </a:ln>
          <a:effectLst/>
        </c:spPr>
      </c:pivotFmt>
      <c:pivotFmt>
        <c:idx val="35"/>
        <c:spPr>
          <a:solidFill>
            <a:srgbClr val="A5AFD3"/>
          </a:solidFill>
          <a:ln>
            <a:noFill/>
          </a:ln>
          <a:effectLst/>
        </c:spPr>
      </c:pivotFmt>
      <c:pivotFmt>
        <c:idx val="36"/>
        <c:spPr>
          <a:solidFill>
            <a:srgbClr val="A5AFD3"/>
          </a:solidFill>
          <a:ln>
            <a:noFill/>
          </a:ln>
          <a:effectLst/>
        </c:spPr>
      </c:pivotFmt>
    </c:pivotFmts>
    <c:plotArea>
      <c:layout/>
      <c:barChart>
        <c:barDir val="col"/>
        <c:grouping val="clustered"/>
        <c:varyColors val="0"/>
        <c:ser>
          <c:idx val="0"/>
          <c:order val="0"/>
          <c:tx>
            <c:strRef>
              <c:f>workings!$T$5</c:f>
              <c:strCache>
                <c:ptCount val="1"/>
                <c:pt idx="0">
                  <c:v>Total</c:v>
                </c:pt>
              </c:strCache>
            </c:strRef>
          </c:tx>
          <c:spPr>
            <a:solidFill>
              <a:srgbClr val="A5AFD3"/>
            </a:solidFill>
            <a:ln>
              <a:noFill/>
            </a:ln>
            <a:effectLst/>
          </c:spPr>
          <c:invertIfNegative val="0"/>
          <c:dPt>
            <c:idx val="0"/>
            <c:invertIfNegative val="0"/>
            <c:bubble3D val="0"/>
            <c:extLst>
              <c:ext xmlns:c16="http://schemas.microsoft.com/office/drawing/2014/chart" uri="{C3380CC4-5D6E-409C-BE32-E72D297353CC}">
                <c16:uniqueId val="{00000001-843A-4328-BC94-ED3AD09AD70E}"/>
              </c:ext>
            </c:extLst>
          </c:dPt>
          <c:dPt>
            <c:idx val="1"/>
            <c:invertIfNegative val="0"/>
            <c:bubble3D val="0"/>
            <c:extLst>
              <c:ext xmlns:c16="http://schemas.microsoft.com/office/drawing/2014/chart" uri="{C3380CC4-5D6E-409C-BE32-E72D297353CC}">
                <c16:uniqueId val="{00000003-843A-4328-BC94-ED3AD09AD70E}"/>
              </c:ext>
            </c:extLst>
          </c:dPt>
          <c:dPt>
            <c:idx val="2"/>
            <c:invertIfNegative val="0"/>
            <c:bubble3D val="0"/>
            <c:extLst>
              <c:ext xmlns:c16="http://schemas.microsoft.com/office/drawing/2014/chart" uri="{C3380CC4-5D6E-409C-BE32-E72D297353CC}">
                <c16:uniqueId val="{00000005-843A-4328-BC94-ED3AD09AD70E}"/>
              </c:ext>
            </c:extLst>
          </c:dPt>
          <c:dPt>
            <c:idx val="5"/>
            <c:invertIfNegative val="0"/>
            <c:bubble3D val="0"/>
            <c:extLst>
              <c:ext xmlns:c16="http://schemas.microsoft.com/office/drawing/2014/chart" uri="{C3380CC4-5D6E-409C-BE32-E72D297353CC}">
                <c16:uniqueId val="{00000004-EBD5-4386-BB33-9BFC9AA97E46}"/>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7"/>
                <c:pt idx="0">
                  <c:v>2015-16</c:v>
                </c:pt>
                <c:pt idx="1">
                  <c:v>2016-17</c:v>
                </c:pt>
                <c:pt idx="2">
                  <c:v>2017-18</c:v>
                </c:pt>
                <c:pt idx="3">
                  <c:v>2018-19</c:v>
                </c:pt>
                <c:pt idx="4">
                  <c:v>2019-20</c:v>
                </c:pt>
                <c:pt idx="5">
                  <c:v>2022-23</c:v>
                </c:pt>
                <c:pt idx="6">
                  <c:v>2023-24</c:v>
                </c:pt>
              </c:strCache>
            </c:strRef>
          </c:cat>
          <c:val>
            <c:numRef>
              <c:f>workings!$T$5</c:f>
              <c:numCache>
                <c:formatCode>0.0</c:formatCode>
                <c:ptCount val="7"/>
                <c:pt idx="0">
                  <c:v>91.100000000000009</c:v>
                </c:pt>
                <c:pt idx="1">
                  <c:v>90.83</c:v>
                </c:pt>
                <c:pt idx="2">
                  <c:v>88.8</c:v>
                </c:pt>
                <c:pt idx="3">
                  <c:v>88.83</c:v>
                </c:pt>
                <c:pt idx="4">
                  <c:v>88.17</c:v>
                </c:pt>
                <c:pt idx="5">
                  <c:v>80.2</c:v>
                </c:pt>
                <c:pt idx="6">
                  <c:v>0</c:v>
                </c:pt>
              </c:numCache>
            </c:numRef>
          </c:val>
          <c:extLst>
            <c:ext xmlns:c16="http://schemas.microsoft.com/office/drawing/2014/chart" uri="{C3380CC4-5D6E-409C-BE32-E72D297353CC}">
              <c16:uniqueId val="{00000008-73C4-4826-B7EE-ACC8CF90DEBC}"/>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25</xdr:col>
      <xdr:colOff>534987</xdr:colOff>
      <xdr:row>0</xdr:row>
      <xdr:rowOff>1756</xdr:rowOff>
    </xdr:from>
    <xdr:to>
      <xdr:col>28</xdr:col>
      <xdr:colOff>331234</xdr:colOff>
      <xdr:row>3</xdr:row>
      <xdr:rowOff>64925</xdr:rowOff>
    </xdr:to>
    <xdr:pic>
      <xdr:nvPicPr>
        <xdr:cNvPr id="2" name="Picture 1" descr="Office of Rail and Road's Logo">
          <a:extLst>
            <a:ext uri="{FF2B5EF4-FFF2-40B4-BE49-F238E27FC236}">
              <a16:creationId xmlns:a16="http://schemas.microsoft.com/office/drawing/2014/main" id="{DB567C12-4FBA-4D42-A7B6-614A549F85C2}"/>
            </a:ext>
          </a:extLst>
        </xdr:cNvPr>
        <xdr:cNvPicPr>
          <a:picLocks noChangeAspect="1"/>
        </xdr:cNvPicPr>
      </xdr:nvPicPr>
      <xdr:blipFill>
        <a:blip xmlns:r="http://schemas.openxmlformats.org/officeDocument/2006/relationships" r:embed="rId1"/>
        <a:stretch>
          <a:fillRect/>
        </a:stretch>
      </xdr:blipFill>
      <xdr:spPr>
        <a:xfrm>
          <a:off x="15427605" y="1756"/>
          <a:ext cx="1656423" cy="1273404"/>
        </a:xfrm>
        <a:prstGeom prst="rect">
          <a:avLst/>
        </a:prstGeom>
      </xdr:spPr>
    </xdr:pic>
    <xdr:clientData/>
  </xdr:twoCellAnchor>
  <xdr:twoCellAnchor>
    <xdr:from>
      <xdr:col>25</xdr:col>
      <xdr:colOff>322271</xdr:colOff>
      <xdr:row>4</xdr:row>
      <xdr:rowOff>38762</xdr:rowOff>
    </xdr:from>
    <xdr:to>
      <xdr:col>28</xdr:col>
      <xdr:colOff>199374</xdr:colOff>
      <xdr:row>5</xdr:row>
      <xdr:rowOff>1262</xdr:rowOff>
    </xdr:to>
    <xdr:sp macro="" textlink="">
      <xdr:nvSpPr>
        <xdr:cNvPr id="3" name="TextBox 2">
          <a:extLst>
            <a:ext uri="{FF2B5EF4-FFF2-40B4-BE49-F238E27FC236}">
              <a16:creationId xmlns:a16="http://schemas.microsoft.com/office/drawing/2014/main" id="{BB94637D-F9F1-477F-B6D3-141849791660}"/>
            </a:ext>
          </a:extLst>
        </xdr:cNvPr>
        <xdr:cNvSpPr txBox="1"/>
      </xdr:nvSpPr>
      <xdr:spPr>
        <a:xfrm>
          <a:off x="15214889" y="1428291"/>
          <a:ext cx="1737279" cy="197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2023</a:t>
          </a:r>
        </a:p>
      </xdr:txBody>
    </xdr:sp>
    <xdr:clientData/>
  </xdr:twoCellAnchor>
  <xdr:twoCellAnchor>
    <xdr:from>
      <xdr:col>1</xdr:col>
      <xdr:colOff>240087</xdr:colOff>
      <xdr:row>9</xdr:row>
      <xdr:rowOff>93632</xdr:rowOff>
    </xdr:from>
    <xdr:to>
      <xdr:col>11</xdr:col>
      <xdr:colOff>459442</xdr:colOff>
      <xdr:row>20</xdr:row>
      <xdr:rowOff>134470</xdr:rowOff>
    </xdr:to>
    <xdr:sp macro="" textlink="">
      <xdr:nvSpPr>
        <xdr:cNvPr id="4" name="Rectangle 3" descr="Key performance indicators and performance indicators selection box">
          <a:extLst>
            <a:ext uri="{FF2B5EF4-FFF2-40B4-BE49-F238E27FC236}">
              <a16:creationId xmlns:a16="http://schemas.microsoft.com/office/drawing/2014/main" id="{B89D29BF-DE55-4ABF-B4DE-A1E11A4CC758}"/>
            </a:ext>
          </a:extLst>
        </xdr:cNvPr>
        <xdr:cNvSpPr/>
      </xdr:nvSpPr>
      <xdr:spPr>
        <a:xfrm>
          <a:off x="609881" y="2760632"/>
          <a:ext cx="6203296" cy="2898338"/>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0</xdr:colOff>
      <xdr:row>9</xdr:row>
      <xdr:rowOff>102705</xdr:rowOff>
    </xdr:from>
    <xdr:to>
      <xdr:col>20</xdr:col>
      <xdr:colOff>124707</xdr:colOff>
      <xdr:row>15</xdr:row>
      <xdr:rowOff>59191</xdr:rowOff>
    </xdr:to>
    <xdr:sp macro="" textlink="">
      <xdr:nvSpPr>
        <xdr:cNvPr id="5" name="Rectangle 4" descr="Shows best and worst performing region and comparison to National Highways.">
          <a:extLst>
            <a:ext uri="{FF2B5EF4-FFF2-40B4-BE49-F238E27FC236}">
              <a16:creationId xmlns:a16="http://schemas.microsoft.com/office/drawing/2014/main" id="{335D7CED-812D-4518-B9BB-E80CD4D19EAB}"/>
            </a:ext>
          </a:extLst>
        </xdr:cNvPr>
        <xdr:cNvSpPr/>
      </xdr:nvSpPr>
      <xdr:spPr>
        <a:xfrm>
          <a:off x="6981265" y="2769705"/>
          <a:ext cx="5828501" cy="122275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0</xdr:colOff>
      <xdr:row>69</xdr:row>
      <xdr:rowOff>57333</xdr:rowOff>
    </xdr:from>
    <xdr:to>
      <xdr:col>28</xdr:col>
      <xdr:colOff>142874</xdr:colOff>
      <xdr:row>88</xdr:row>
      <xdr:rowOff>0</xdr:rowOff>
    </xdr:to>
    <xdr:grpSp>
      <xdr:nvGrpSpPr>
        <xdr:cNvPr id="6" name="Group 5" descr="Commentary notes and change in methodology.">
          <a:extLst>
            <a:ext uri="{FF2B5EF4-FFF2-40B4-BE49-F238E27FC236}">
              <a16:creationId xmlns:a16="http://schemas.microsoft.com/office/drawing/2014/main" id="{E086FEF5-226E-4381-B1D1-5AE72C3F6FE6}"/>
            </a:ext>
          </a:extLst>
        </xdr:cNvPr>
        <xdr:cNvGrpSpPr/>
      </xdr:nvGrpSpPr>
      <xdr:grpSpPr>
        <a:xfrm>
          <a:off x="6596063" y="14130521"/>
          <a:ext cx="10099674" cy="3335948"/>
          <a:chOff x="2905578" y="13537478"/>
          <a:chExt cx="10208810" cy="2883841"/>
        </a:xfrm>
      </xdr:grpSpPr>
      <xdr:sp macro="" textlink="">
        <xdr:nvSpPr>
          <xdr:cNvPr id="7" name="Rectangle 6">
            <a:extLst>
              <a:ext uri="{FF2B5EF4-FFF2-40B4-BE49-F238E27FC236}">
                <a16:creationId xmlns:a16="http://schemas.microsoft.com/office/drawing/2014/main" id="{2CEEC173-D1A3-8B49-FE57-FF003E982B82}"/>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8" name="TextBox 7">
            <a:extLst>
              <a:ext uri="{FF2B5EF4-FFF2-40B4-BE49-F238E27FC236}">
                <a16:creationId xmlns:a16="http://schemas.microsoft.com/office/drawing/2014/main" id="{2BE0E3BD-2664-7F89-B0B0-2AEAD1B716B3}"/>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1" i="0" u="sng">
                <a:solidFill>
                  <a:schemeClr val="dk1"/>
                </a:solidFill>
                <a:effectLst/>
                <a:latin typeface="Arial" panose="020B0604020202020204" pitchFamily="34" charset="0"/>
                <a:ea typeface="+mn-ea"/>
                <a:cs typeface="Arial" panose="020B0604020202020204" pitchFamily="34" charset="0"/>
              </a:rPr>
              <a:t>As a result of changes in travel demand, some</a:t>
            </a:r>
            <a:r>
              <a:rPr lang="en-GB" sz="1200" b="1" i="0" u="sng" baseline="0">
                <a:solidFill>
                  <a:schemeClr val="dk1"/>
                </a:solidFill>
                <a:effectLst/>
                <a:latin typeface="Arial" panose="020B0604020202020204" pitchFamily="34" charset="0"/>
                <a:ea typeface="+mn-ea"/>
                <a:cs typeface="Arial" panose="020B0604020202020204" pitchFamily="34" charset="0"/>
              </a:rPr>
              <a:t> </a:t>
            </a:r>
            <a:r>
              <a:rPr lang="en-GB" sz="1200" b="1" i="0" u="sng">
                <a:solidFill>
                  <a:schemeClr val="dk1"/>
                </a:solidFill>
                <a:effectLst/>
                <a:latin typeface="Arial" panose="020B0604020202020204" pitchFamily="34" charset="0"/>
                <a:ea typeface="+mn-ea"/>
                <a:cs typeface="Arial" panose="020B0604020202020204" pitchFamily="34" charset="0"/>
              </a:rPr>
              <a:t>figures for some years may not be directly comparable.</a:t>
            </a:r>
            <a:endParaRPr lang="en-GB" sz="1200" b="1" u="sng">
              <a:latin typeface="Arial" panose="020B0604020202020204" pitchFamily="34" charset="0"/>
              <a:cs typeface="Arial" panose="020B0604020202020204" pitchFamily="34" charset="0"/>
            </a:endParaRPr>
          </a:p>
          <a:p>
            <a:endParaRPr lang="en-GB" sz="1200">
              <a:latin typeface="Georgia" panose="02040502050405020303" pitchFamily="18" charset="0"/>
            </a:endParaRPr>
          </a:p>
          <a:p>
            <a:r>
              <a:rPr lang="en-GB" sz="1200" b="0">
                <a:effectLst/>
                <a:latin typeface="Arial" panose="020B0604020202020204" pitchFamily="34" charset="0"/>
                <a:cs typeface="Arial" panose="020B0604020202020204" pitchFamily="34" charset="0"/>
              </a:rPr>
              <a:t>1.</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Data for 2020-21 and 2021-22 is affected by reduced travel demand due to the impact of the pandemic.</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a:t>
            </a:r>
            <a:r>
              <a:rPr lang="en-GB" sz="1200" b="0" baseline="0">
                <a:effectLst/>
                <a:latin typeface="Arial" panose="020B0604020202020204" pitchFamily="34" charset="0"/>
                <a:cs typeface="Arial" panose="020B0604020202020204" pitchFamily="34" charset="0"/>
              </a:rPr>
              <a:t> Road user satisfaction KPI - due to the social distancing restrictions no data was available during 2020-21. The Strategic Roads User Survey (SRUS) replaced the National Road Users' Satisfaction Survey (NRUSS) in 2021-22. As a result, figures for road period 1 and road period 2 are not directly comparable. Due to the introduction of a new surve methodology targets are currently suspended.</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For roadworks information timeliness and accuracy the metric only includes full carriageway or slip road closures.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The calculations for the ride quality relate to lane 1 of the SRN and excludes roads contracted under a Design, Build, Finance, and Operate (DBFO) organisations.</a:t>
            </a:r>
          </a:p>
        </xdr:txBody>
      </xdr:sp>
    </xdr:grpSp>
    <xdr:clientData/>
  </xdr:twoCellAnchor>
  <xdr:twoCellAnchor>
    <xdr:from>
      <xdr:col>1</xdr:col>
      <xdr:colOff>464763</xdr:colOff>
      <xdr:row>9</xdr:row>
      <xdr:rowOff>114745</xdr:rowOff>
    </xdr:from>
    <xdr:to>
      <xdr:col>11</xdr:col>
      <xdr:colOff>246530</xdr:colOff>
      <xdr:row>11</xdr:row>
      <xdr:rowOff>1774</xdr:rowOff>
    </xdr:to>
    <xdr:sp macro="" textlink="">
      <xdr:nvSpPr>
        <xdr:cNvPr id="9" name="TextBox 8">
          <a:extLst>
            <a:ext uri="{FF2B5EF4-FFF2-40B4-BE49-F238E27FC236}">
              <a16:creationId xmlns:a16="http://schemas.microsoft.com/office/drawing/2014/main" id="{B6D37321-5D7F-4995-99F3-184824409191}"/>
            </a:ext>
          </a:extLst>
        </xdr:cNvPr>
        <xdr:cNvSpPr txBox="1"/>
      </xdr:nvSpPr>
      <xdr:spPr>
        <a:xfrm>
          <a:off x="834557" y="2781745"/>
          <a:ext cx="5765708" cy="27923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a:t>
          </a:r>
          <a:r>
            <a:rPr lang="en-GB" sz="1100" baseline="0">
              <a:solidFill>
                <a:schemeClr val="bg1"/>
              </a:solidFill>
              <a:latin typeface="Arial" panose="020B0604020202020204" pitchFamily="34" charset="0"/>
              <a:cs typeface="Arial" panose="020B0604020202020204" pitchFamily="34" charset="0"/>
            </a:rPr>
            <a:t>nly</a:t>
          </a:r>
          <a:r>
            <a:rPr lang="en-GB" sz="1100">
              <a:solidFill>
                <a:schemeClr val="bg1"/>
              </a:solidFill>
              <a:latin typeface="Arial" panose="020B0604020202020204" pitchFamily="34" charset="0"/>
              <a:cs typeface="Arial" panose="020B0604020202020204" pitchFamily="34" charset="0"/>
            </a:rPr>
            <a:t> ONE indicator</a:t>
          </a:r>
        </a:p>
      </xdr:txBody>
    </xdr:sp>
    <xdr:clientData/>
  </xdr:twoCellAnchor>
  <xdr:twoCellAnchor>
    <xdr:from>
      <xdr:col>21</xdr:col>
      <xdr:colOff>16831</xdr:colOff>
      <xdr:row>9</xdr:row>
      <xdr:rowOff>85847</xdr:rowOff>
    </xdr:from>
    <xdr:to>
      <xdr:col>28</xdr:col>
      <xdr:colOff>78440</xdr:colOff>
      <xdr:row>15</xdr:row>
      <xdr:rowOff>47095</xdr:rowOff>
    </xdr:to>
    <xdr:sp macro="" textlink="">
      <xdr:nvSpPr>
        <xdr:cNvPr id="10" name="Rectangle 9" descr="This box displays the financial years commencing April 2015 to March 2020 for road period 1 and April 2020 to March 2025 for road period 2.">
          <a:extLst>
            <a:ext uri="{FF2B5EF4-FFF2-40B4-BE49-F238E27FC236}">
              <a16:creationId xmlns:a16="http://schemas.microsoft.com/office/drawing/2014/main" id="{2E98DD50-9AA0-4194-9772-73BB3138C81B}"/>
            </a:ext>
          </a:extLst>
        </xdr:cNvPr>
        <xdr:cNvSpPr/>
      </xdr:nvSpPr>
      <xdr:spPr>
        <a:xfrm>
          <a:off x="12993243" y="2752847"/>
          <a:ext cx="4431903" cy="122751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323290</xdr:colOff>
      <xdr:row>11</xdr:row>
      <xdr:rowOff>56523</xdr:rowOff>
    </xdr:from>
    <xdr:to>
      <xdr:col>11</xdr:col>
      <xdr:colOff>447824</xdr:colOff>
      <xdr:row>20</xdr:row>
      <xdr:rowOff>76759</xdr:rowOff>
    </xdr:to>
    <mc:AlternateContent xmlns:mc="http://schemas.openxmlformats.org/markup-compatibility/2006" xmlns:a14="http://schemas.microsoft.com/office/drawing/2010/main">
      <mc:Choice Requires="a14">
        <xdr:graphicFrame macro="">
          <xdr:nvGraphicFramePr>
            <xdr:cNvPr id="20" name="KPI 1">
              <a:extLst>
                <a:ext uri="{FF2B5EF4-FFF2-40B4-BE49-F238E27FC236}">
                  <a16:creationId xmlns:a16="http://schemas.microsoft.com/office/drawing/2014/main" id="{044219E3-D5B9-4FD1-A223-D6C7F0E398B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 1"/>
            </a:graphicData>
          </a:graphic>
        </xdr:graphicFrame>
      </mc:Choice>
      <mc:Fallback xmlns="">
        <xdr:sp macro="" textlink="">
          <xdr:nvSpPr>
            <xdr:cNvPr id="0" name=""/>
            <xdr:cNvSpPr>
              <a:spLocks noTextEdit="1"/>
            </xdr:cNvSpPr>
          </xdr:nvSpPr>
          <xdr:spPr>
            <a:xfrm>
              <a:off x="693084" y="3328641"/>
              <a:ext cx="6107206" cy="248553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561975</xdr:colOff>
      <xdr:row>20</xdr:row>
      <xdr:rowOff>76200</xdr:rowOff>
    </xdr:from>
    <xdr:to>
      <xdr:col>27</xdr:col>
      <xdr:colOff>551322</xdr:colOff>
      <xdr:row>36</xdr:row>
      <xdr:rowOff>18795</xdr:rowOff>
    </xdr:to>
    <xdr:graphicFrame macro="">
      <xdr:nvGraphicFramePr>
        <xdr:cNvPr id="11" name="Chart 20" descr="This chart displays performance data for National Highways.">
          <a:extLst>
            <a:ext uri="{FF2B5EF4-FFF2-40B4-BE49-F238E27FC236}">
              <a16:creationId xmlns:a16="http://schemas.microsoft.com/office/drawing/2014/main" id="{500BADBC-92F1-488F-8657-46D12CCF7151}"/>
            </a:ext>
            <a:ext uri="{147F2762-F138-4A5C-976F-8EAC2B608ADB}">
              <a16:predDERef xmlns:a16="http://schemas.microsoft.com/office/drawing/2014/main" pred="{044219E3-D5B9-4FD1-A223-D6C7F0E39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561975</xdr:colOff>
      <xdr:row>36</xdr:row>
      <xdr:rowOff>58119</xdr:rowOff>
    </xdr:from>
    <xdr:to>
      <xdr:col>16</xdr:col>
      <xdr:colOff>599701</xdr:colOff>
      <xdr:row>52</xdr:row>
      <xdr:rowOff>40024</xdr:rowOff>
    </xdr:to>
    <xdr:graphicFrame macro="">
      <xdr:nvGraphicFramePr>
        <xdr:cNvPr id="12" name="Chart 21" descr="This chart displays performance data for National Highways, Yorkshire and North East region">
          <a:extLst>
            <a:ext uri="{FF2B5EF4-FFF2-40B4-BE49-F238E27FC236}">
              <a16:creationId xmlns:a16="http://schemas.microsoft.com/office/drawing/2014/main" id="{7E729F4F-7A10-4165-B45E-430E3FC1A963}"/>
            </a:ext>
            <a:ext uri="{147F2762-F138-4A5C-976F-8EAC2B608ADB}">
              <a16:predDERef xmlns:a16="http://schemas.microsoft.com/office/drawing/2014/main" pred="{500BADBC-92F1-488F-8657-46D12CCF7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112676</xdr:colOff>
      <xdr:row>36</xdr:row>
      <xdr:rowOff>58119</xdr:rowOff>
    </xdr:from>
    <xdr:to>
      <xdr:col>22</xdr:col>
      <xdr:colOff>181700</xdr:colOff>
      <xdr:row>52</xdr:row>
      <xdr:rowOff>40024</xdr:rowOff>
    </xdr:to>
    <xdr:graphicFrame macro="">
      <xdr:nvGraphicFramePr>
        <xdr:cNvPr id="23" name="Chart 22" descr="This chart displays performance data for National Highways North West region.">
          <a:extLst>
            <a:ext uri="{FF2B5EF4-FFF2-40B4-BE49-F238E27FC236}">
              <a16:creationId xmlns:a16="http://schemas.microsoft.com/office/drawing/2014/main" id="{BB53A578-F76E-452F-9685-375973702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292367</xdr:colOff>
      <xdr:row>36</xdr:row>
      <xdr:rowOff>58119</xdr:rowOff>
    </xdr:from>
    <xdr:to>
      <xdr:col>27</xdr:col>
      <xdr:colOff>544179</xdr:colOff>
      <xdr:row>52</xdr:row>
      <xdr:rowOff>40024</xdr:rowOff>
    </xdr:to>
    <xdr:graphicFrame macro="">
      <xdr:nvGraphicFramePr>
        <xdr:cNvPr id="24" name="Chart 23" descr="This chart displays performance data for National Highways Midlands region.">
          <a:extLst>
            <a:ext uri="{FF2B5EF4-FFF2-40B4-BE49-F238E27FC236}">
              <a16:creationId xmlns:a16="http://schemas.microsoft.com/office/drawing/2014/main" id="{A4CEDEE7-8A77-4B20-A326-86687C65E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561975</xdr:colOff>
      <xdr:row>53</xdr:row>
      <xdr:rowOff>0</xdr:rowOff>
    </xdr:from>
    <xdr:to>
      <xdr:col>16</xdr:col>
      <xdr:colOff>599701</xdr:colOff>
      <xdr:row>68</xdr:row>
      <xdr:rowOff>159705</xdr:rowOff>
    </xdr:to>
    <xdr:graphicFrame macro="">
      <xdr:nvGraphicFramePr>
        <xdr:cNvPr id="25" name="Chart 24" descr="This chart displays performance data for National Highways East region.&#10;">
          <a:extLst>
            <a:ext uri="{FF2B5EF4-FFF2-40B4-BE49-F238E27FC236}">
              <a16:creationId xmlns:a16="http://schemas.microsoft.com/office/drawing/2014/main" id="{565FE700-05DC-4654-9226-4A5747551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112676</xdr:colOff>
      <xdr:row>53</xdr:row>
      <xdr:rowOff>0</xdr:rowOff>
    </xdr:from>
    <xdr:to>
      <xdr:col>22</xdr:col>
      <xdr:colOff>181700</xdr:colOff>
      <xdr:row>68</xdr:row>
      <xdr:rowOff>159705</xdr:rowOff>
    </xdr:to>
    <xdr:graphicFrame macro="">
      <xdr:nvGraphicFramePr>
        <xdr:cNvPr id="26" name="Chart 25" descr="This chart displays performance data for National Highways South East region&#10;">
          <a:extLst>
            <a:ext uri="{FF2B5EF4-FFF2-40B4-BE49-F238E27FC236}">
              <a16:creationId xmlns:a16="http://schemas.microsoft.com/office/drawing/2014/main" id="{81CAC5A5-EF44-4209-9E53-94EC7A5ED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292367</xdr:colOff>
      <xdr:row>53</xdr:row>
      <xdr:rowOff>0</xdr:rowOff>
    </xdr:from>
    <xdr:to>
      <xdr:col>27</xdr:col>
      <xdr:colOff>544179</xdr:colOff>
      <xdr:row>68</xdr:row>
      <xdr:rowOff>159705</xdr:rowOff>
    </xdr:to>
    <xdr:graphicFrame macro="">
      <xdr:nvGraphicFramePr>
        <xdr:cNvPr id="27" name="Chart 26" descr="This chart displays performance data for National Highways South West region.">
          <a:extLst>
            <a:ext uri="{FF2B5EF4-FFF2-40B4-BE49-F238E27FC236}">
              <a16:creationId xmlns:a16="http://schemas.microsoft.com/office/drawing/2014/main" id="{398E0182-6C33-4303-8580-9D5E03D4D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21</xdr:col>
      <xdr:colOff>46214</xdr:colOff>
      <xdr:row>9</xdr:row>
      <xdr:rowOff>163512</xdr:rowOff>
    </xdr:from>
    <xdr:to>
      <xdr:col>28</xdr:col>
      <xdr:colOff>623</xdr:colOff>
      <xdr:row>14</xdr:row>
      <xdr:rowOff>191216</xdr:rowOff>
    </xdr:to>
    <mc:AlternateContent xmlns:mc="http://schemas.openxmlformats.org/markup-compatibility/2006" xmlns:a14="http://schemas.microsoft.com/office/drawing/2010/main">
      <mc:Choice Requires="a14">
        <xdr:graphicFrame macro="">
          <xdr:nvGraphicFramePr>
            <xdr:cNvPr id="28" name="Year 1">
              <a:extLst>
                <a:ext uri="{FF2B5EF4-FFF2-40B4-BE49-F238E27FC236}">
                  <a16:creationId xmlns:a16="http://schemas.microsoft.com/office/drawing/2014/main" id="{1CB165A9-81F4-4D12-9F4E-1013046DAA1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3137797" y="3058583"/>
              <a:ext cx="4197702" cy="1090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25401</xdr:rowOff>
    </xdr:from>
    <xdr:to>
      <xdr:col>12</xdr:col>
      <xdr:colOff>202430</xdr:colOff>
      <xdr:row>2</xdr:row>
      <xdr:rowOff>93662</xdr:rowOff>
    </xdr:to>
    <mc:AlternateContent xmlns:mc="http://schemas.openxmlformats.org/markup-compatibility/2006" xmlns:a14="http://schemas.microsoft.com/office/drawing/2010/main">
      <mc:Choice Requires="a14">
        <xdr:graphicFrame macro="">
          <xdr:nvGraphicFramePr>
            <xdr:cNvPr id="6" name="Year">
              <a:extLst>
                <a:ext uri="{FF2B5EF4-FFF2-40B4-BE49-F238E27FC236}">
                  <a16:creationId xmlns:a16="http://schemas.microsoft.com/office/drawing/2014/main" id="{E528E501-308B-C654-7B76-39CE8EE50DED}"/>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2700" y="25401"/>
              <a:ext cx="5639152" cy="61118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527712</xdr:colOff>
      <xdr:row>0</xdr:row>
      <xdr:rowOff>20546</xdr:rowOff>
    </xdr:from>
    <xdr:to>
      <xdr:col>26</xdr:col>
      <xdr:colOff>200804</xdr:colOff>
      <xdr:row>2</xdr:row>
      <xdr:rowOff>151073</xdr:rowOff>
    </xdr:to>
    <mc:AlternateContent xmlns:mc="http://schemas.openxmlformats.org/markup-compatibility/2006" xmlns:a14="http://schemas.microsoft.com/office/drawing/2010/main">
      <mc:Choice Requires="a14">
        <xdr:graphicFrame macro="">
          <xdr:nvGraphicFramePr>
            <xdr:cNvPr id="7" name="KPI">
              <a:extLst>
                <a:ext uri="{FF2B5EF4-FFF2-40B4-BE49-F238E27FC236}">
                  <a16:creationId xmlns:a16="http://schemas.microsoft.com/office/drawing/2014/main" id="{83936361-9159-4C44-EDEB-EE81FA1E65B5}"/>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5996183" y="20546"/>
              <a:ext cx="10526010" cy="5115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96.651441666669" createdVersion="8" refreshedVersion="8" minRefreshableVersion="3" recordCount="25" xr:uid="{47379DB8-DA15-4852-B03F-A86340971809}">
  <cacheSource type="worksheet">
    <worksheetSource name="data"/>
  </cacheSource>
  <cacheFields count="9">
    <cacheField name="Year" numFmtId="0">
      <sharedItems count="9">
        <s v="2015-16"/>
        <s v="2016-17"/>
        <s v="2017-18"/>
        <s v="2018-19"/>
        <s v="2019-20"/>
        <s v="2020-21"/>
        <s v="2021-22"/>
        <s v="2022-23"/>
        <s v="2023-24"/>
      </sharedItems>
    </cacheField>
    <cacheField name="KPI" numFmtId="0">
      <sharedItems count="5">
        <s v="Road user satisfaction"/>
        <s v="Roadworks information timeliness and accuracy"/>
        <s v="Timeliness of information provided to road users through electronic signage"/>
        <s v="Ride Quality"/>
        <s v="Working with local highways authorities to review diversion routes for unplanned events"/>
      </sharedItems>
    </cacheField>
    <cacheField name="National Highways" numFmtId="0">
      <sharedItems containsDate="1" containsString="0" containsBlank="1" containsMixedTypes="1" minDate="1899-12-30T00:01:53" maxDate="1899-12-31T01:30:04"/>
    </cacheField>
    <cacheField name="Yorkshire and North East" numFmtId="0">
      <sharedItems containsDate="1" containsBlank="1" containsMixedTypes="1" minDate="1899-12-30T00:02:19" maxDate="1899-12-31T01:30:04"/>
    </cacheField>
    <cacheField name="North West_x000a_" numFmtId="0">
      <sharedItems containsDate="1" containsBlank="1" containsMixedTypes="1" minDate="1899-12-30T00:01:34" maxDate="1899-12-31T01:30:04"/>
    </cacheField>
    <cacheField name="Midlands_x000a_" numFmtId="0">
      <sharedItems containsDate="1" containsBlank="1" containsMixedTypes="1" minDate="1899-12-30T00:01:26" maxDate="1899-12-31T01:30:04"/>
    </cacheField>
    <cacheField name="East_x000a_" numFmtId="0">
      <sharedItems containsDate="1" containsBlank="1" containsMixedTypes="1" minDate="1899-12-30T00:01:53" maxDate="1899-12-31T01:30:04"/>
    </cacheField>
    <cacheField name="South East_x000a_" numFmtId="0">
      <sharedItems containsDate="1" containsBlank="1" containsMixedTypes="1" minDate="1899-12-30T00:02:00" maxDate="1899-12-31T01:30:04"/>
    </cacheField>
    <cacheField name="South West_x000a_" numFmtId="0">
      <sharedItems containsDate="1" containsBlank="1" containsMixedTypes="1" minDate="1899-12-30T00:01:43" maxDate="1899-12-31T01:30:04"/>
    </cacheField>
  </cacheFields>
  <extLst>
    <ext xmlns:x14="http://schemas.microsoft.com/office/spreadsheetml/2009/9/main" uri="{725AE2AE-9491-48be-B2B4-4EB974FC3084}">
      <x14:pivotCacheDefinition pivotCacheId="7312012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
  <r>
    <x v="0"/>
    <x v="0"/>
    <n v="89.3"/>
    <n v="86.09"/>
    <n v="83.54"/>
    <n v="89.05"/>
    <n v="91.75"/>
    <n v="89.070000000000007"/>
    <n v="91.100000000000009"/>
  </r>
  <r>
    <x v="1"/>
    <x v="0"/>
    <n v="89.1"/>
    <n v="87.99"/>
    <n v="82.99"/>
    <n v="86.839999999999989"/>
    <n v="91.05"/>
    <n v="88.460000000000008"/>
    <n v="90.83"/>
  </r>
  <r>
    <x v="2"/>
    <x v="0"/>
    <n v="88.7"/>
    <n v="88.3"/>
    <n v="77.900000000000006"/>
    <n v="88.6"/>
    <n v="90.3"/>
    <n v="90.8"/>
    <n v="88.8"/>
  </r>
  <r>
    <x v="3"/>
    <x v="0"/>
    <n v="88.4"/>
    <n v="91.12"/>
    <n v="84"/>
    <n v="88.26"/>
    <n v="90.29"/>
    <n v="86.429999999999993"/>
    <n v="88.83"/>
  </r>
  <r>
    <x v="4"/>
    <x v="0"/>
    <n v="89.2"/>
    <n v="92.63"/>
    <n v="85.22"/>
    <n v="89.89"/>
    <n v="88.160000000000011"/>
    <n v="88.69"/>
    <n v="88.17"/>
  </r>
  <r>
    <x v="5"/>
    <x v="0"/>
    <m/>
    <m/>
    <m/>
    <m/>
    <m/>
    <m/>
    <m/>
  </r>
  <r>
    <x v="6"/>
    <x v="0"/>
    <m/>
    <m/>
    <m/>
    <m/>
    <m/>
    <m/>
    <m/>
  </r>
  <r>
    <x v="7"/>
    <x v="0"/>
    <n v="73"/>
    <n v="72.900000000000006"/>
    <n v="69.599999999999994"/>
    <n v="72.7"/>
    <n v="72.2"/>
    <n v="71.5"/>
    <n v="80.2"/>
  </r>
  <r>
    <x v="8"/>
    <x v="0"/>
    <n v="71"/>
    <s v="[x]"/>
    <s v="[x]"/>
    <s v="[x]"/>
    <s v="[x]"/>
    <s v="[x]"/>
    <s v="[x]"/>
  </r>
  <r>
    <x v="5"/>
    <x v="1"/>
    <n v="54.5"/>
    <n v="58.4"/>
    <n v="58.3"/>
    <n v="66.3"/>
    <n v="58"/>
    <n v="42.4"/>
    <n v="63.5"/>
  </r>
  <r>
    <x v="6"/>
    <x v="1"/>
    <n v="68.099999999999994"/>
    <n v="62.1"/>
    <n v="66.7"/>
    <n v="73.8"/>
    <n v="72.099999999999994"/>
    <n v="63.4"/>
    <n v="73.7"/>
  </r>
  <r>
    <x v="7"/>
    <x v="1"/>
    <n v="70"/>
    <n v="70.2"/>
    <n v="78.900000000000006"/>
    <n v="68.3"/>
    <n v="75.599999999999994"/>
    <n v="61.5"/>
    <n v="79.7"/>
  </r>
  <r>
    <x v="8"/>
    <x v="1"/>
    <n v="71.099999999999994"/>
    <s v="[x]"/>
    <s v="[x]"/>
    <s v="[x]"/>
    <s v="[x]"/>
    <s v="[x]"/>
    <s v="[x]"/>
  </r>
  <r>
    <x v="5"/>
    <x v="2"/>
    <d v="1899-12-30T00:01:53"/>
    <d v="1899-12-30T00:02:19"/>
    <d v="1899-12-30T00:01:34"/>
    <d v="1899-12-30T00:01:48"/>
    <d v="1899-12-30T00:01:53"/>
    <d v="1899-12-30T00:02:09"/>
    <d v="1899-12-30T00:01:43"/>
  </r>
  <r>
    <x v="6"/>
    <x v="2"/>
    <d v="1899-12-30T00:02:11"/>
    <d v="1899-12-30T00:03:10"/>
    <d v="1899-12-30T00:01:45"/>
    <d v="1899-12-30T00:01:26"/>
    <d v="1899-12-30T00:01:53"/>
    <d v="1899-12-30T00:02:04"/>
    <d v="1899-12-30T00:02:43"/>
  </r>
  <r>
    <x v="7"/>
    <x v="2"/>
    <d v="1899-12-30T00:02:20"/>
    <d v="1899-12-30T00:02:35"/>
    <d v="1899-12-30T00:02:25"/>
    <d v="1899-12-30T00:02:36"/>
    <d v="1899-12-30T00:02:00"/>
    <d v="1899-12-30T00:02:00"/>
    <d v="1899-12-30T00:02:39"/>
  </r>
  <r>
    <x v="8"/>
    <x v="2"/>
    <d v="1899-12-30T00:02:23"/>
    <s v="[x]"/>
    <s v="[x]"/>
    <s v="[x]"/>
    <s v="[x]"/>
    <s v="[x]"/>
    <s v="[x]"/>
  </r>
  <r>
    <x v="5"/>
    <x v="3"/>
    <n v="98.5"/>
    <n v="99.1"/>
    <n v="98.9"/>
    <n v="98.1"/>
    <n v="97.899999999999991"/>
    <n v="98.8"/>
    <n v="98.9"/>
  </r>
  <r>
    <x v="6"/>
    <x v="3"/>
    <n v="98.4"/>
    <n v="98"/>
    <n v="98.4"/>
    <n v="97.5"/>
    <n v="98.1"/>
    <n v="98.1"/>
    <n v="98.9"/>
  </r>
  <r>
    <x v="7"/>
    <x v="3"/>
    <n v="98.6"/>
    <n v="99"/>
    <n v="98.7"/>
    <n v="98.2"/>
    <n v="98.1"/>
    <n v="98.7"/>
    <n v="98.9"/>
  </r>
  <r>
    <x v="8"/>
    <x v="3"/>
    <n v="91.9"/>
    <s v="[x]"/>
    <s v="[x]"/>
    <s v="[x]"/>
    <s v="[x]"/>
    <s v="[x]"/>
    <s v="[x]"/>
  </r>
  <r>
    <x v="5"/>
    <x v="4"/>
    <n v="53"/>
    <m/>
    <m/>
    <m/>
    <m/>
    <m/>
    <m/>
  </r>
  <r>
    <x v="6"/>
    <x v="4"/>
    <n v="97.2"/>
    <n v="92"/>
    <n v="100"/>
    <n v="100"/>
    <n v="100"/>
    <n v="67"/>
    <n v="100"/>
  </r>
  <r>
    <x v="7"/>
    <x v="4"/>
    <n v="99"/>
    <n v="100"/>
    <n v="100"/>
    <n v="100"/>
    <n v="100"/>
    <n v="100"/>
    <n v="91"/>
  </r>
  <r>
    <x v="8"/>
    <x v="4"/>
    <n v="100"/>
    <s v="[x]"/>
    <s v="[x]"/>
    <s v="[x]"/>
    <s v="[x]"/>
    <s v="[x]"/>
    <s v="[x]"/>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5A7C5B6-6D87-4415-BFC4-9E50D0F5B850}" name="PivotTable35" cacheId="2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P5:Q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showAll="0"/>
    <pivotField showAll="0"/>
    <pivotField showAll="0"/>
    <pivotField dataField="1" showAll="0"/>
    <pivotField showAll="0"/>
  </pivotFields>
  <rowFields count="1">
    <field x="0"/>
  </rowFields>
  <rowItems count="7">
    <i>
      <x/>
    </i>
    <i>
      <x v="1"/>
    </i>
    <i>
      <x v="2"/>
    </i>
    <i>
      <x v="3"/>
    </i>
    <i>
      <x v="4"/>
    </i>
    <i>
      <x v="7"/>
    </i>
    <i>
      <x v="8"/>
    </i>
  </rowItems>
  <colItems count="1">
    <i/>
  </colItems>
  <dataFields count="1">
    <dataField name=" South East" fld="7" baseField="0" baseItem="0"/>
  </dataFields>
  <formats count="1">
    <format dxfId="0">
      <pivotArea collapsedLevelsAreSubtotals="1" fieldPosition="0">
        <references count="1">
          <reference field="0" count="0"/>
        </references>
      </pivotArea>
    </format>
  </formats>
  <conditionalFormats count="2">
    <conditionalFormat priority="4">
      <pivotAreas count="1">
        <pivotArea type="data" collapsedLevelsAreSubtotals="1" fieldPosition="0">
          <references count="2">
            <reference field="4294967294" count="1" selected="0">
              <x v="0"/>
            </reference>
            <reference field="0" count="1">
              <x v="5"/>
            </reference>
          </references>
        </pivotArea>
      </pivotAreas>
    </conditionalFormat>
    <conditionalFormat priority="3">
      <pivotAreas count="1">
        <pivotArea type="data" collapsedLevelsAreSubtotals="1" fieldPosition="0">
          <references count="2">
            <reference field="4294967294" count="1" selected="0">
              <x v="0"/>
            </reference>
            <reference field="0" count="1">
              <x v="6"/>
            </reference>
          </references>
        </pivotArea>
      </pivotAreas>
    </conditionalFormat>
  </conditionalFormats>
  <chartFormats count="11">
    <chartFormat chart="3" format="23" series="1">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6"/>
          </reference>
        </references>
      </pivotArea>
    </chartFormat>
    <chartFormat chart="3" format="25">
      <pivotArea type="data" outline="0" fieldPosition="0">
        <references count="2">
          <reference field="4294967294" count="1" selected="0">
            <x v="0"/>
          </reference>
          <reference field="0" count="1" selected="0">
            <x v="5"/>
          </reference>
        </references>
      </pivotArea>
    </chartFormat>
    <chartFormat chart="3" format="26">
      <pivotArea type="data" outline="0" fieldPosition="0">
        <references count="2">
          <reference field="4294967294" count="1" selected="0">
            <x v="0"/>
          </reference>
          <reference field="0" count="1" selected="0">
            <x v="7"/>
          </reference>
        </references>
      </pivotArea>
    </chartFormat>
    <chartFormat chart="3" format="30">
      <pivotArea type="data" outline="0" fieldPosition="0">
        <references count="1">
          <reference field="4294967294" count="1" selected="0">
            <x v="0"/>
          </reference>
        </references>
      </pivotArea>
    </chartFormat>
    <chartFormat chart="3" format="31">
      <pivotArea type="data" outline="0" fieldPosition="0">
        <references count="2">
          <reference field="4294967294" count="1" selected="0">
            <x v="0"/>
          </reference>
          <reference field="0" count="1" selected="0">
            <x v="8"/>
          </reference>
        </references>
      </pivotArea>
    </chartFormat>
    <chartFormat chart="3" format="32">
      <pivotArea type="data" outline="0" fieldPosition="0">
        <references count="2">
          <reference field="4294967294" count="1" selected="0">
            <x v="0"/>
          </reference>
          <reference field="0" count="1" selected="0">
            <x v="0"/>
          </reference>
        </references>
      </pivotArea>
    </chartFormat>
    <chartFormat chart="3" format="33">
      <pivotArea type="data" outline="0" fieldPosition="0">
        <references count="2">
          <reference field="4294967294" count="1" selected="0">
            <x v="0"/>
          </reference>
          <reference field="0" count="1" selected="0">
            <x v="1"/>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A43282A-75A0-4755-B49C-9A45DE3A7CB6}" name="PivotTable32" cacheId="2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G5:H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dataField="1" showAll="0"/>
    <pivotField showAll="0"/>
    <pivotField showAll="0"/>
    <pivotField showAll="0"/>
    <pivotField showAll="0"/>
  </pivotFields>
  <rowFields count="1">
    <field x="0"/>
  </rowFields>
  <rowItems count="7">
    <i>
      <x/>
    </i>
    <i>
      <x v="1"/>
    </i>
    <i>
      <x v="2"/>
    </i>
    <i>
      <x v="3"/>
    </i>
    <i>
      <x v="4"/>
    </i>
    <i>
      <x v="7"/>
    </i>
    <i>
      <x v="8"/>
    </i>
  </rowItems>
  <colItems count="1">
    <i/>
  </colItems>
  <dataFields count="1">
    <dataField name=" North West" fld="4" baseField="0" baseItem="0"/>
  </dataFields>
  <formats count="1">
    <format dxfId="1">
      <pivotArea collapsedLevelsAreSubtotals="1" fieldPosition="0">
        <references count="1">
          <reference field="0" count="0"/>
        </references>
      </pivotArea>
    </format>
  </formats>
  <conditionalFormats count="2">
    <conditionalFormat priority="10">
      <pivotAreas count="1">
        <pivotArea type="data" collapsedLevelsAreSubtotals="1" fieldPosition="0">
          <references count="2">
            <reference field="4294967294" count="1" selected="0">
              <x v="0"/>
            </reference>
            <reference field="0" count="1">
              <x v="5"/>
            </reference>
          </references>
        </pivotArea>
      </pivotAreas>
    </conditionalFormat>
    <conditionalFormat priority="9">
      <pivotAreas count="1">
        <pivotArea type="data" collapsedLevelsAreSubtotals="1" fieldPosition="0">
          <references count="2">
            <reference field="4294967294" count="1" selected="0">
              <x v="0"/>
            </reference>
            <reference field="0" count="1">
              <x v="6"/>
            </reference>
          </references>
        </pivotArea>
      </pivotAreas>
    </conditionalFormat>
  </conditionalFormats>
  <chartFormats count="11">
    <chartFormat chart="3" format="34" series="1">
      <pivotArea type="data" outline="0" fieldPosition="0">
        <references count="1">
          <reference field="4294967294" count="1" selected="0">
            <x v="0"/>
          </reference>
        </references>
      </pivotArea>
    </chartFormat>
    <chartFormat chart="3" format="35">
      <pivotArea type="data" outline="0" fieldPosition="0">
        <references count="2">
          <reference field="4294967294" count="1" selected="0">
            <x v="0"/>
          </reference>
          <reference field="0" count="1" selected="0">
            <x v="6"/>
          </reference>
        </references>
      </pivotArea>
    </chartFormat>
    <chartFormat chart="3" format="36">
      <pivotArea type="data" outline="0" fieldPosition="0">
        <references count="2">
          <reference field="4294967294" count="1" selected="0">
            <x v="0"/>
          </reference>
          <reference field="0" count="1" selected="0">
            <x v="5"/>
          </reference>
        </references>
      </pivotArea>
    </chartFormat>
    <chartFormat chart="3" format="37">
      <pivotArea type="data" outline="0" fieldPosition="0">
        <references count="2">
          <reference field="4294967294" count="1" selected="0">
            <x v="0"/>
          </reference>
          <reference field="0" count="1" selected="0">
            <x v="7"/>
          </reference>
        </references>
      </pivotArea>
    </chartFormat>
    <chartFormat chart="3" format="41">
      <pivotArea type="data" outline="0" fieldPosition="0">
        <references count="1">
          <reference field="4294967294" count="1" selected="0">
            <x v="0"/>
          </reference>
        </references>
      </pivotArea>
    </chartFormat>
    <chartFormat chart="3" format="42">
      <pivotArea type="data" outline="0" fieldPosition="0">
        <references count="2">
          <reference field="4294967294" count="1" selected="0">
            <x v="0"/>
          </reference>
          <reference field="0" count="1" selected="0">
            <x v="8"/>
          </reference>
        </references>
      </pivotArea>
    </chartFormat>
    <chartFormat chart="3" format="43">
      <pivotArea type="data" outline="0" fieldPosition="0">
        <references count="2">
          <reference field="4294967294" count="1" selected="0">
            <x v="0"/>
          </reference>
          <reference field="0" count="1" selected="0">
            <x v="0"/>
          </reference>
        </references>
      </pivotArea>
    </chartFormat>
    <chartFormat chart="3" format="44">
      <pivotArea type="data" outline="0" fieldPosition="0">
        <references count="2">
          <reference field="4294967294" count="1" selected="0">
            <x v="0"/>
          </reference>
          <reference field="0" count="1" selected="0">
            <x v="1"/>
          </reference>
        </references>
      </pivotArea>
    </chartFormat>
    <chartFormat chart="3" format="45">
      <pivotArea type="data" outline="0" fieldPosition="0">
        <references count="2">
          <reference field="4294967294" count="1" selected="0">
            <x v="0"/>
          </reference>
          <reference field="0" count="1" selected="0">
            <x v="2"/>
          </reference>
        </references>
      </pivotArea>
    </chartFormat>
    <chartFormat chart="3" format="46">
      <pivotArea type="data" outline="0" fieldPosition="0">
        <references count="2">
          <reference field="4294967294" count="1" selected="0">
            <x v="0"/>
          </reference>
          <reference field="0" count="1" selected="0">
            <x v="3"/>
          </reference>
        </references>
      </pivotArea>
    </chartFormat>
    <chartFormat chart="3" format="47">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327203-97EC-492F-99DB-E31A95200DDA}" name="PivotTable36" cacheId="2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S5:T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showAll="0"/>
    <pivotField showAll="0"/>
    <pivotField showAll="0"/>
    <pivotField showAll="0"/>
    <pivotField dataField="1" showAll="0"/>
  </pivotFields>
  <rowFields count="1">
    <field x="0"/>
  </rowFields>
  <rowItems count="7">
    <i>
      <x/>
    </i>
    <i>
      <x v="1"/>
    </i>
    <i>
      <x v="2"/>
    </i>
    <i>
      <x v="3"/>
    </i>
    <i>
      <x v="4"/>
    </i>
    <i>
      <x v="7"/>
    </i>
    <i>
      <x v="8"/>
    </i>
  </rowItems>
  <colItems count="1">
    <i/>
  </colItems>
  <dataFields count="1">
    <dataField name=" South West" fld="8" baseField="0" baseItem="0"/>
  </dataFields>
  <formats count="1">
    <format dxfId="2">
      <pivotArea collapsedLevelsAreSubtotals="1" fieldPosition="0">
        <references count="1">
          <reference field="0" count="0"/>
        </references>
      </pivotArea>
    </format>
  </formats>
  <conditionalFormats count="2">
    <conditionalFormat priority="2">
      <pivotAreas count="1">
        <pivotArea type="data" collapsedLevelsAreSubtotals="1" fieldPosition="0">
          <references count="2">
            <reference field="4294967294" count="1" selected="0">
              <x v="0"/>
            </reference>
            <reference field="0" count="1">
              <x v="5"/>
            </reference>
          </references>
        </pivotArea>
      </pivotAreas>
    </conditionalFormat>
    <conditionalFormat priority="1">
      <pivotAreas count="1">
        <pivotArea type="data" collapsedLevelsAreSubtotals="1" fieldPosition="0">
          <references count="2">
            <reference field="4294967294" count="1" selected="0">
              <x v="0"/>
            </reference>
            <reference field="0" count="1">
              <x v="6"/>
            </reference>
          </references>
        </pivotArea>
      </pivotAreas>
    </conditionalFormat>
  </conditionalFormats>
  <chartFormats count="11">
    <chartFormat chart="3" format="23" series="1">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6"/>
          </reference>
        </references>
      </pivotArea>
    </chartFormat>
    <chartFormat chart="3" format="25">
      <pivotArea type="data" outline="0" fieldPosition="0">
        <references count="2">
          <reference field="4294967294" count="1" selected="0">
            <x v="0"/>
          </reference>
          <reference field="0" count="1" selected="0">
            <x v="5"/>
          </reference>
        </references>
      </pivotArea>
    </chartFormat>
    <chartFormat chart="3" format="26">
      <pivotArea type="data" outline="0" fieldPosition="0">
        <references count="2">
          <reference field="4294967294" count="1" selected="0">
            <x v="0"/>
          </reference>
          <reference field="0" count="1" selected="0">
            <x v="7"/>
          </reference>
        </references>
      </pivotArea>
    </chartFormat>
    <chartFormat chart="3" format="30">
      <pivotArea type="data" outline="0" fieldPosition="0">
        <references count="1">
          <reference field="4294967294" count="1" selected="0">
            <x v="0"/>
          </reference>
        </references>
      </pivotArea>
    </chartFormat>
    <chartFormat chart="3" format="31">
      <pivotArea type="data" outline="0" fieldPosition="0">
        <references count="2">
          <reference field="4294967294" count="1" selected="0">
            <x v="0"/>
          </reference>
          <reference field="0" count="1" selected="0">
            <x v="8"/>
          </reference>
        </references>
      </pivotArea>
    </chartFormat>
    <chartFormat chart="3" format="32">
      <pivotArea type="data" outline="0" fieldPosition="0">
        <references count="2">
          <reference field="4294967294" count="1" selected="0">
            <x v="0"/>
          </reference>
          <reference field="0" count="1" selected="0">
            <x v="0"/>
          </reference>
        </references>
      </pivotArea>
    </chartFormat>
    <chartFormat chart="3" format="33">
      <pivotArea type="data" outline="0" fieldPosition="0">
        <references count="2">
          <reference field="4294967294" count="1" selected="0">
            <x v="0"/>
          </reference>
          <reference field="0" count="1" selected="0">
            <x v="1"/>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87E2D06-DF5F-48A5-AD41-11FC654811A3}" name="PivotTable33" cacheId="2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J5:K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showAll="0"/>
    <pivotField dataField="1" showAll="0"/>
    <pivotField showAll="0"/>
    <pivotField showAll="0"/>
    <pivotField showAll="0"/>
  </pivotFields>
  <rowFields count="1">
    <field x="0"/>
  </rowFields>
  <rowItems count="7">
    <i>
      <x/>
    </i>
    <i>
      <x v="1"/>
    </i>
    <i>
      <x v="2"/>
    </i>
    <i>
      <x v="3"/>
    </i>
    <i>
      <x v="4"/>
    </i>
    <i>
      <x v="7"/>
    </i>
    <i>
      <x v="8"/>
    </i>
  </rowItems>
  <colItems count="1">
    <i/>
  </colItems>
  <dataFields count="1">
    <dataField name=" Midlands" fld="5" baseField="0" baseItem="0"/>
  </dataFields>
  <formats count="1">
    <format dxfId="3">
      <pivotArea collapsedLevelsAreSubtotals="1" fieldPosition="0">
        <references count="1">
          <reference field="0" count="0"/>
        </references>
      </pivotArea>
    </format>
  </formats>
  <conditionalFormats count="2">
    <conditionalFormat priority="8">
      <pivotAreas count="1">
        <pivotArea type="data" collapsedLevelsAreSubtotals="1" fieldPosition="0">
          <references count="2">
            <reference field="4294967294" count="1" selected="0">
              <x v="0"/>
            </reference>
            <reference field="0" count="1">
              <x v="5"/>
            </reference>
          </references>
        </pivotArea>
      </pivotAreas>
    </conditionalFormat>
    <conditionalFormat priority="7">
      <pivotAreas count="1">
        <pivotArea type="data" collapsedLevelsAreSubtotals="1" fieldPosition="0">
          <references count="2">
            <reference field="4294967294" count="1" selected="0">
              <x v="0"/>
            </reference>
            <reference field="0" count="1">
              <x v="6"/>
            </reference>
          </references>
        </pivotArea>
      </pivotAreas>
    </conditionalFormat>
  </conditionalFormats>
  <chartFormats count="11">
    <chartFormat chart="3" format="38" series="1">
      <pivotArea type="data" outline="0" fieldPosition="0">
        <references count="1">
          <reference field="4294967294" count="1" selected="0">
            <x v="0"/>
          </reference>
        </references>
      </pivotArea>
    </chartFormat>
    <chartFormat chart="3" format="39">
      <pivotArea type="data" outline="0" fieldPosition="0">
        <references count="2">
          <reference field="4294967294" count="1" selected="0">
            <x v="0"/>
          </reference>
          <reference field="0" count="1" selected="0">
            <x v="6"/>
          </reference>
        </references>
      </pivotArea>
    </chartFormat>
    <chartFormat chart="3" format="40">
      <pivotArea type="data" outline="0" fieldPosition="0">
        <references count="2">
          <reference field="4294967294" count="1" selected="0">
            <x v="0"/>
          </reference>
          <reference field="0" count="1" selected="0">
            <x v="5"/>
          </reference>
        </references>
      </pivotArea>
    </chartFormat>
    <chartFormat chart="3" format="41">
      <pivotArea type="data" outline="0" fieldPosition="0">
        <references count="2">
          <reference field="4294967294" count="1" selected="0">
            <x v="0"/>
          </reference>
          <reference field="0" count="1" selected="0">
            <x v="7"/>
          </reference>
        </references>
      </pivotArea>
    </chartFormat>
    <chartFormat chart="3" format="45">
      <pivotArea type="data" outline="0" fieldPosition="0">
        <references count="1">
          <reference field="4294967294" count="1" selected="0">
            <x v="0"/>
          </reference>
        </references>
      </pivotArea>
    </chartFormat>
    <chartFormat chart="3" format="46">
      <pivotArea type="data" outline="0" fieldPosition="0">
        <references count="2">
          <reference field="4294967294" count="1" selected="0">
            <x v="0"/>
          </reference>
          <reference field="0" count="1" selected="0">
            <x v="8"/>
          </reference>
        </references>
      </pivotArea>
    </chartFormat>
    <chartFormat chart="3" format="47">
      <pivotArea type="data" outline="0" fieldPosition="0">
        <references count="2">
          <reference field="4294967294" count="1" selected="0">
            <x v="0"/>
          </reference>
          <reference field="0" count="1" selected="0">
            <x v="0"/>
          </reference>
        </references>
      </pivotArea>
    </chartFormat>
    <chartFormat chart="3" format="48">
      <pivotArea type="data" outline="0" fieldPosition="0">
        <references count="2">
          <reference field="4294967294" count="1" selected="0">
            <x v="0"/>
          </reference>
          <reference field="0" count="1" selected="0">
            <x v="1"/>
          </reference>
        </references>
      </pivotArea>
    </chartFormat>
    <chartFormat chart="3" format="49">
      <pivotArea type="data" outline="0" fieldPosition="0">
        <references count="2">
          <reference field="4294967294" count="1" selected="0">
            <x v="0"/>
          </reference>
          <reference field="0" count="1" selected="0">
            <x v="2"/>
          </reference>
        </references>
      </pivotArea>
    </chartFormat>
    <chartFormat chart="3" format="50">
      <pivotArea type="data" outline="0" fieldPosition="0">
        <references count="2">
          <reference field="4294967294" count="1" selected="0">
            <x v="0"/>
          </reference>
          <reference field="0" count="1" selected="0">
            <x v="3"/>
          </reference>
        </references>
      </pivotArea>
    </chartFormat>
    <chartFormat chart="3" format="5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D4DA340-FF0C-43E0-9949-159FF94CBF89}" name="PivotTable34" cacheId="2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M5:N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showAll="0"/>
    <pivotField showAll="0"/>
    <pivotField dataField="1" showAll="0"/>
    <pivotField showAll="0"/>
    <pivotField showAll="0"/>
  </pivotFields>
  <rowFields count="1">
    <field x="0"/>
  </rowFields>
  <rowItems count="7">
    <i>
      <x/>
    </i>
    <i>
      <x v="1"/>
    </i>
    <i>
      <x v="2"/>
    </i>
    <i>
      <x v="3"/>
    </i>
    <i>
      <x v="4"/>
    </i>
    <i>
      <x v="7"/>
    </i>
    <i>
      <x v="8"/>
    </i>
  </rowItems>
  <colItems count="1">
    <i/>
  </colItems>
  <dataFields count="1">
    <dataField name=" East" fld="6" baseField="0" baseItem="0"/>
  </dataFields>
  <formats count="1">
    <format dxfId="4">
      <pivotArea collapsedLevelsAreSubtotals="1" fieldPosition="0">
        <references count="1">
          <reference field="0" count="0"/>
        </references>
      </pivotArea>
    </format>
  </formats>
  <conditionalFormats count="2">
    <conditionalFormat priority="6">
      <pivotAreas count="1">
        <pivotArea type="data" collapsedLevelsAreSubtotals="1" fieldPosition="0">
          <references count="2">
            <reference field="4294967294" count="1" selected="0">
              <x v="0"/>
            </reference>
            <reference field="0" count="1">
              <x v="5"/>
            </reference>
          </references>
        </pivotArea>
      </pivotAreas>
    </conditionalFormat>
    <conditionalFormat priority="5">
      <pivotAreas count="1">
        <pivotArea type="data" collapsedLevelsAreSubtotals="1" fieldPosition="0">
          <references count="2">
            <reference field="4294967294" count="1" selected="0">
              <x v="0"/>
            </reference>
            <reference field="0" count="1">
              <x v="6"/>
            </reference>
          </references>
        </pivotArea>
      </pivotAreas>
    </conditionalFormat>
  </conditionalFormats>
  <chartFormats count="11">
    <chartFormat chart="3" format="24" series="1">
      <pivotArea type="data" outline="0" fieldPosition="0">
        <references count="1">
          <reference field="4294967294" count="1" selected="0">
            <x v="0"/>
          </reference>
        </references>
      </pivotArea>
    </chartFormat>
    <chartFormat chart="3" format="25">
      <pivotArea type="data" outline="0" fieldPosition="0">
        <references count="1">
          <reference field="4294967294" count="1" selected="0">
            <x v="0"/>
          </reference>
        </references>
      </pivotArea>
    </chartFormat>
    <chartFormat chart="3" format="26">
      <pivotArea type="data" outline="0" fieldPosition="0">
        <references count="2">
          <reference field="4294967294" count="1" selected="0">
            <x v="0"/>
          </reference>
          <reference field="0" count="1" selected="0">
            <x v="5"/>
          </reference>
        </references>
      </pivotArea>
    </chartFormat>
    <chartFormat chart="3" format="27">
      <pivotArea type="data" outline="0" fieldPosition="0">
        <references count="2">
          <reference field="4294967294" count="1" selected="0">
            <x v="0"/>
          </reference>
          <reference field="0" count="1" selected="0">
            <x v="6"/>
          </reference>
        </references>
      </pivotArea>
    </chartFormat>
    <chartFormat chart="3" format="28">
      <pivotArea type="data" outline="0" fieldPosition="0">
        <references count="2">
          <reference field="4294967294" count="1" selected="0">
            <x v="0"/>
          </reference>
          <reference field="0" count="1" selected="0">
            <x v="0"/>
          </reference>
        </references>
      </pivotArea>
    </chartFormat>
    <chartFormat chart="3" format="29">
      <pivotArea type="data" outline="0" fieldPosition="0">
        <references count="2">
          <reference field="4294967294" count="1" selected="0">
            <x v="0"/>
          </reference>
          <reference field="0" count="1" selected="0">
            <x v="1"/>
          </reference>
        </references>
      </pivotArea>
    </chartFormat>
    <chartFormat chart="3" format="30">
      <pivotArea type="data" outline="0" fieldPosition="0">
        <references count="2">
          <reference field="4294967294" count="1" selected="0">
            <x v="0"/>
          </reference>
          <reference field="0" count="1" selected="0">
            <x v="2"/>
          </reference>
        </references>
      </pivotArea>
    </chartFormat>
    <chartFormat chart="3" format="31">
      <pivotArea type="data" outline="0" fieldPosition="0">
        <references count="2">
          <reference field="4294967294" count="1" selected="0">
            <x v="0"/>
          </reference>
          <reference field="0" count="1" selected="0">
            <x v="3"/>
          </reference>
        </references>
      </pivotArea>
    </chartFormat>
    <chartFormat chart="3" format="32">
      <pivotArea type="data" outline="0" fieldPosition="0">
        <references count="2">
          <reference field="4294967294" count="1" selected="0">
            <x v="0"/>
          </reference>
          <reference field="0" count="1" selected="0">
            <x v="4"/>
          </reference>
        </references>
      </pivotArea>
    </chartFormat>
    <chartFormat chart="3" format="33">
      <pivotArea type="data" outline="0" fieldPosition="0">
        <references count="2">
          <reference field="4294967294" count="1" selected="0">
            <x v="0"/>
          </reference>
          <reference field="0" count="1" selected="0">
            <x v="7"/>
          </reference>
        </references>
      </pivotArea>
    </chartFormat>
    <chartFormat chart="3" format="34">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12D9251-94E3-4A7B-A165-77B5AEDE41BB}" name="PivotTable30" cacheId="2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A5:B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dataField="1" showAll="0"/>
    <pivotField showAll="0"/>
    <pivotField showAll="0"/>
    <pivotField showAll="0"/>
    <pivotField showAll="0"/>
    <pivotField showAll="0"/>
    <pivotField showAll="0"/>
  </pivotFields>
  <rowFields count="1">
    <field x="0"/>
  </rowFields>
  <rowItems count="7">
    <i>
      <x/>
    </i>
    <i>
      <x v="1"/>
    </i>
    <i>
      <x v="2"/>
    </i>
    <i>
      <x v="3"/>
    </i>
    <i>
      <x v="4"/>
    </i>
    <i>
      <x v="7"/>
    </i>
    <i>
      <x v="8"/>
    </i>
  </rowItems>
  <colItems count="1">
    <i/>
  </colItems>
  <dataFields count="1">
    <dataField name=" National Highways" fld="2" baseField="0" baseItem="0"/>
  </dataFields>
  <formats count="1">
    <format dxfId="5">
      <pivotArea collapsedLevelsAreSubtotals="1" fieldPosition="0">
        <references count="1">
          <reference field="0" count="0"/>
        </references>
      </pivotArea>
    </format>
  </formats>
  <conditionalFormats count="2">
    <conditionalFormat priority="14">
      <pivotAreas count="1">
        <pivotArea type="data" collapsedLevelsAreSubtotals="1" fieldPosition="0">
          <references count="2">
            <reference field="4294967294" count="1" selected="0">
              <x v="0"/>
            </reference>
            <reference field="0" count="1">
              <x v="5"/>
            </reference>
          </references>
        </pivotArea>
      </pivotAreas>
    </conditionalFormat>
    <conditionalFormat priority="13">
      <pivotAreas count="1">
        <pivotArea type="data" collapsedLevelsAreSubtotals="1" fieldPosition="0">
          <references count="2">
            <reference field="4294967294" count="1" selected="0">
              <x v="0"/>
            </reference>
            <reference field="0" count="1">
              <x v="6"/>
            </reference>
          </references>
        </pivotArea>
      </pivotAreas>
    </conditionalFormat>
  </conditionalFormats>
  <chartFormats count="12">
    <chartFormat chart="7" format="0" series="1">
      <pivotArea type="data" outline="0" fieldPosition="0">
        <references count="1">
          <reference field="4294967294" count="1" selected="0">
            <x v="0"/>
          </reference>
        </references>
      </pivotArea>
    </chartFormat>
    <chartFormat chart="3" format="27" series="1">
      <pivotArea type="data" outline="0" fieldPosition="0">
        <references count="1">
          <reference field="4294967294" count="1" selected="0">
            <x v="0"/>
          </reference>
        </references>
      </pivotArea>
    </chartFormat>
    <chartFormat chart="3" format="28">
      <pivotArea type="data" outline="0" fieldPosition="0">
        <references count="1">
          <reference field="4294967294" count="1" selected="0">
            <x v="0"/>
          </reference>
        </references>
      </pivotArea>
    </chartFormat>
    <chartFormat chart="3" format="29">
      <pivotArea type="data" outline="0" fieldPosition="0">
        <references count="2">
          <reference field="4294967294" count="1" selected="0">
            <x v="0"/>
          </reference>
          <reference field="0" count="1" selected="0">
            <x v="7"/>
          </reference>
        </references>
      </pivotArea>
    </chartFormat>
    <chartFormat chart="3" format="30">
      <pivotArea type="data" outline="0" fieldPosition="0">
        <references count="2">
          <reference field="4294967294" count="1" selected="0">
            <x v="0"/>
          </reference>
          <reference field="0" count="1" selected="0">
            <x v="6"/>
          </reference>
        </references>
      </pivotArea>
    </chartFormat>
    <chartFormat chart="3" format="31">
      <pivotArea type="data" outline="0" fieldPosition="0">
        <references count="2">
          <reference field="4294967294" count="1" selected="0">
            <x v="0"/>
          </reference>
          <reference field="0" count="1" selected="0">
            <x v="5"/>
          </reference>
        </references>
      </pivotArea>
    </chartFormat>
    <chartFormat chart="3" format="32">
      <pivotArea type="data" outline="0" fieldPosition="0">
        <references count="2">
          <reference field="4294967294" count="1" selected="0">
            <x v="0"/>
          </reference>
          <reference field="0" count="1" selected="0">
            <x v="8"/>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1"/>
          </reference>
        </references>
      </pivotArea>
    </chartFormat>
    <chartFormat chart="3" format="35">
      <pivotArea type="data" outline="0" fieldPosition="0">
        <references count="2">
          <reference field="4294967294" count="1" selected="0">
            <x v="0"/>
          </reference>
          <reference field="0" count="1" selected="0">
            <x v="2"/>
          </reference>
        </references>
      </pivotArea>
    </chartFormat>
    <chartFormat chart="3" format="36">
      <pivotArea type="data" outline="0" fieldPosition="0">
        <references count="2">
          <reference field="4294967294" count="1" selected="0">
            <x v="0"/>
          </reference>
          <reference field="0" count="1" selected="0">
            <x v="3"/>
          </reference>
        </references>
      </pivotArea>
    </chartFormat>
    <chartFormat chart="3" format="37">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0C0B70D-0DD1-423F-A1D5-233659A99721}" name="PivotTable50" cacheId="2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M42:T49" firstHeaderRow="0" firstDataRow="1" firstDataCol="1" rowPageCount="1" colPageCount="1"/>
  <pivotFields count="9">
    <pivotField axis="axisRow" showAll="0">
      <items count="10">
        <item x="0"/>
        <item x="1"/>
        <item x="2"/>
        <item x="3"/>
        <item x="4"/>
        <item h="1" x="5"/>
        <item h="1" x="6"/>
        <item x="7"/>
        <item x="8"/>
        <item t="default"/>
      </items>
    </pivotField>
    <pivotField axis="axisPage" showAll="0">
      <items count="6">
        <item x="3"/>
        <item x="0"/>
        <item x="1"/>
        <item x="2"/>
        <item x="4"/>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7">
    <i>
      <x/>
    </i>
    <i>
      <x v="1"/>
    </i>
    <i>
      <x v="2"/>
    </i>
    <i>
      <x v="3"/>
    </i>
    <i>
      <x v="4"/>
    </i>
    <i>
      <x v="7"/>
    </i>
    <i>
      <x v="8"/>
    </i>
  </rowItems>
  <colFields count="1">
    <field x="-2"/>
  </colFields>
  <colItems count="7">
    <i>
      <x/>
    </i>
    <i i="1">
      <x v="1"/>
    </i>
    <i i="2">
      <x v="2"/>
    </i>
    <i i="3">
      <x v="3"/>
    </i>
    <i i="4">
      <x v="4"/>
    </i>
    <i i="5">
      <x v="5"/>
    </i>
    <i i="6">
      <x v="6"/>
    </i>
  </colItems>
  <pageFields count="1">
    <pageField fld="1" item="1" hier="-1"/>
  </pageFields>
  <dataFields count="7">
    <dataField name="Max of Yorkshire and North East" fld="3" subtotal="max" baseField="0" baseItem="5" numFmtId="220"/>
    <dataField name="Max of North West" fld="4" subtotal="max" baseField="0" baseItem="5" numFmtId="221"/>
    <dataField name=" Midlands" fld="5" baseField="0" baseItem="2" numFmtId="197"/>
    <dataField name=" East" fld="6" baseField="0" baseItem="2"/>
    <dataField name=" South East" fld="7" baseField="0" baseItem="2"/>
    <dataField name=" South West" fld="8" baseField="0" baseItem="2"/>
    <dataField name=" National Highways" fld="2" baseField="0" baseItem="3"/>
  </dataFields>
  <formats count="5">
    <format dxfId="10">
      <pivotArea collapsedLevelsAreSubtotals="1" fieldPosition="0">
        <references count="1">
          <reference field="0" count="0"/>
        </references>
      </pivotArea>
    </format>
    <format dxfId="9">
      <pivotArea outline="0" fieldPosition="0">
        <references count="1">
          <reference field="4294967294" count="1">
            <x v="1"/>
          </reference>
        </references>
      </pivotArea>
    </format>
    <format dxfId="8">
      <pivotArea outline="0" fieldPosition="0">
        <references count="1">
          <reference field="4294967294" count="1">
            <x v="0"/>
          </reference>
        </references>
      </pivotArea>
    </format>
    <format dxfId="7">
      <pivotArea outline="0" collapsedLevelsAreSubtotals="1" fieldPosition="0">
        <references count="1">
          <reference field="4294967294" count="1" selected="0">
            <x v="2"/>
          </reference>
        </references>
      </pivotArea>
    </format>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7D8CDE5-5F3A-4225-A238-F44A6A9DF72F}" name="PivotTable37" cacheId="2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2:H49" firstHeaderRow="0" firstDataRow="1" firstDataCol="1" rowPageCount="1" colPageCount="1"/>
  <pivotFields count="9">
    <pivotField axis="axisRow" showAll="0">
      <items count="10">
        <item x="0"/>
        <item x="1"/>
        <item x="2"/>
        <item x="3"/>
        <item x="4"/>
        <item h="1" x="5"/>
        <item h="1" x="6"/>
        <item x="7"/>
        <item x="8"/>
        <item t="default"/>
      </items>
    </pivotField>
    <pivotField axis="axisPage" showAll="0">
      <items count="6">
        <item x="3"/>
        <item x="0"/>
        <item x="1"/>
        <item x="2"/>
        <item x="4"/>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7">
    <i>
      <x/>
    </i>
    <i>
      <x v="1"/>
    </i>
    <i>
      <x v="2"/>
    </i>
    <i>
      <x v="3"/>
    </i>
    <i>
      <x v="4"/>
    </i>
    <i>
      <x v="7"/>
    </i>
    <i>
      <x v="8"/>
    </i>
  </rowItems>
  <colFields count="1">
    <field x="-2"/>
  </colFields>
  <colItems count="7">
    <i>
      <x/>
    </i>
    <i i="1">
      <x v="1"/>
    </i>
    <i i="2">
      <x v="2"/>
    </i>
    <i i="3">
      <x v="3"/>
    </i>
    <i i="4">
      <x v="4"/>
    </i>
    <i i="5">
      <x v="5"/>
    </i>
    <i i="6">
      <x v="6"/>
    </i>
  </colItems>
  <pageFields count="1">
    <pageField fld="1" item="1" hier="-1"/>
  </pageFields>
  <dataFields count="7">
    <dataField name=" Yorkshire and North East" fld="3" baseField="0" baseItem="0"/>
    <dataField name=" North West" fld="4" baseField="0" baseItem="2"/>
    <dataField name=" Midlands" fld="5" baseField="0" baseItem="2"/>
    <dataField name=" East" fld="6" baseField="0" baseItem="2"/>
    <dataField name=" South East" fld="7" baseField="0" baseItem="2"/>
    <dataField name=" South West" fld="8" baseField="0" baseItem="2"/>
    <dataField name=" National Highways" fld="2" baseField="0" baseItem="3"/>
  </dataFields>
  <formats count="1">
    <format dxfId="11">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1554436-7409-43BB-8367-FB9573C73520}" name="PivotTable31" cacheId="2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D5:E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dataField="1" showAll="0"/>
    <pivotField showAll="0"/>
    <pivotField showAll="0"/>
    <pivotField showAll="0"/>
    <pivotField showAll="0"/>
    <pivotField showAll="0"/>
  </pivotFields>
  <rowFields count="1">
    <field x="0"/>
  </rowFields>
  <rowItems count="7">
    <i>
      <x/>
    </i>
    <i>
      <x v="1"/>
    </i>
    <i>
      <x v="2"/>
    </i>
    <i>
      <x v="3"/>
    </i>
    <i>
      <x v="4"/>
    </i>
    <i>
      <x v="7"/>
    </i>
    <i>
      <x v="8"/>
    </i>
  </rowItems>
  <colItems count="1">
    <i/>
  </colItems>
  <dataFields count="1">
    <dataField name=" Yorkshire and North East" fld="3" baseField="0" baseItem="0"/>
  </dataFields>
  <formats count="1">
    <format dxfId="12">
      <pivotArea collapsedLevelsAreSubtotals="1" fieldPosition="0">
        <references count="1">
          <reference field="0" count="0"/>
        </references>
      </pivotArea>
    </format>
  </formats>
  <conditionalFormats count="2">
    <conditionalFormat priority="12">
      <pivotAreas count="1">
        <pivotArea type="data" collapsedLevelsAreSubtotals="1" fieldPosition="0">
          <references count="2">
            <reference field="4294967294" count="1" selected="0">
              <x v="0"/>
            </reference>
            <reference field="0" count="1">
              <x v="5"/>
            </reference>
          </references>
        </pivotArea>
      </pivotAreas>
    </conditionalFormat>
    <conditionalFormat priority="11">
      <pivotAreas count="1">
        <pivotArea type="data" collapsedLevelsAreSubtotals="1" fieldPosition="0">
          <references count="2">
            <reference field="4294967294" count="1" selected="0">
              <x v="0"/>
            </reference>
            <reference field="0" count="1">
              <x v="6"/>
            </reference>
          </references>
        </pivotArea>
      </pivotAreas>
    </conditionalFormat>
  </conditionalFormats>
  <chartFormats count="11">
    <chartFormat chart="3" format="26" series="1">
      <pivotArea type="data" outline="0" fieldPosition="0">
        <references count="1">
          <reference field="4294967294" count="1" selected="0">
            <x v="0"/>
          </reference>
        </references>
      </pivotArea>
    </chartFormat>
    <chartFormat chart="3" format="27">
      <pivotArea type="data" outline="0" fieldPosition="0">
        <references count="2">
          <reference field="4294967294" count="1" selected="0">
            <x v="0"/>
          </reference>
          <reference field="0" count="1" selected="0">
            <x v="6"/>
          </reference>
        </references>
      </pivotArea>
    </chartFormat>
    <chartFormat chart="3" format="28">
      <pivotArea type="data" outline="0" fieldPosition="0">
        <references count="2">
          <reference field="4294967294" count="1" selected="0">
            <x v="0"/>
          </reference>
          <reference field="0" count="1" selected="0">
            <x v="5"/>
          </reference>
        </references>
      </pivotArea>
    </chartFormat>
    <chartFormat chart="3" format="29">
      <pivotArea type="data" outline="0" fieldPosition="0">
        <references count="2">
          <reference field="4294967294" count="1" selected="0">
            <x v="0"/>
          </reference>
          <reference field="0" count="1" selected="0">
            <x v="7"/>
          </reference>
        </references>
      </pivotArea>
    </chartFormat>
    <chartFormat chart="3" format="33">
      <pivotArea type="data" outline="0" fieldPosition="0">
        <references count="1">
          <reference field="4294967294" count="1" selected="0">
            <x v="0"/>
          </reference>
        </references>
      </pivotArea>
    </chartFormat>
    <chartFormat chart="3" format="36">
      <pivotArea type="data" outline="0" fieldPosition="0">
        <references count="2">
          <reference field="4294967294" count="1" selected="0">
            <x v="0"/>
          </reference>
          <reference field="0" count="1" selected="0">
            <x v="8"/>
          </reference>
        </references>
      </pivotArea>
    </chartFormat>
    <chartFormat chart="3" format="37">
      <pivotArea type="data" outline="0" fieldPosition="0">
        <references count="2">
          <reference field="4294967294" count="1" selected="0">
            <x v="0"/>
          </reference>
          <reference field="0" count="1" selected="0">
            <x v="0"/>
          </reference>
        </references>
      </pivotArea>
    </chartFormat>
    <chartFormat chart="3" format="38">
      <pivotArea type="data" outline="0" fieldPosition="0">
        <references count="2">
          <reference field="4294967294" count="1" selected="0">
            <x v="0"/>
          </reference>
          <reference field="0" count="1" selected="0">
            <x v="1"/>
          </reference>
        </references>
      </pivotArea>
    </chartFormat>
    <chartFormat chart="3" format="39">
      <pivotArea type="data" outline="0" fieldPosition="0">
        <references count="2">
          <reference field="4294967294" count="1" selected="0">
            <x v="0"/>
          </reference>
          <reference field="0" count="1" selected="0">
            <x v="2"/>
          </reference>
        </references>
      </pivotArea>
    </chartFormat>
    <chartFormat chart="3" format="40">
      <pivotArea type="data" outline="0" fieldPosition="0">
        <references count="2">
          <reference field="4294967294" count="1" selected="0">
            <x v="0"/>
          </reference>
          <reference field="0" count="1" selected="0">
            <x v="3"/>
          </reference>
        </references>
      </pivotArea>
    </chartFormat>
    <chartFormat chart="3" format="4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 xr10:uid="{6AC81560-3109-4618-B428-C64BC4DE2FCC}" sourceName="KPI">
  <pivotTables>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50"/>
  </pivotTables>
  <data>
    <tabular pivotCacheId="73120123" showMissing="0">
      <items count="5">
        <i x="3"/>
        <i x="0" s="1"/>
        <i x="1"/>
        <i x="2"/>
        <i x="4"/>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67E132E0-A23E-422C-BD7A-39DB84A0A4D9}" sourceName="Year">
  <pivotTables>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50"/>
  </pivotTables>
  <data>
    <tabular pivotCacheId="73120123" showMissing="0">
      <items count="9">
        <i x="0" s="1"/>
        <i x="1" s="1"/>
        <i x="2" s="1"/>
        <i x="3" s="1"/>
        <i x="4" s="1"/>
        <i x="7" s="1"/>
        <i x="8" s="1"/>
        <i x="5" nd="1"/>
        <i x="6"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PI 1" xr10:uid="{57363F53-D9D1-4912-9185-2A01D8600BE3}" cache="Slicer_KPI" caption="KPI" showCaption="0" style="indicators" lockedPosition="1" rowHeight="432000"/>
  <slicer name="Year 1" xr10:uid="{77630419-C877-45CC-865C-AA06DEFAFAF7}" cache="Slicer_Year" caption="Year" columnCount="5"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PI" xr10:uid="{D64402D3-5911-4B6B-AD66-2F4ACE8F21DC}" cache="Slicer_KPI" caption="KPI" columnCount="5" showCaption="0" style="indicators 2" rowHeight="241300"/>
  <slicer name="Year" xr10:uid="{92A94F54-366B-4D1E-8BE8-4A76512D5895}" cache="Slicer_Year" caption="Year" columnCount="7" showCaption="0" style="indicator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8" totalsRowShown="0">
  <tableColumns count="2">
    <tableColumn id="1" xr3:uid="{00000000-0010-0000-0100-000001000000}" name="Note number " dataDxfId="99"/>
    <tableColumn id="2" xr3:uid="{00000000-0010-0000-0100-000002000000}" name="Note text " dataDxfId="9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9" totalsRowShown="0">
  <autoFilter ref="A3:B9" xr:uid="{A2E2B00C-F437-45B3-8503-7AA9961C3F10}">
    <filterColumn colId="0" hiddenButton="1"/>
    <filterColumn colId="1" hiddenButton="1"/>
  </autoFilter>
  <tableColumns count="2">
    <tableColumn id="1" xr3:uid="{557ED635-1147-439E-8F74-0D2BBB4D3AF5}" name="Worksheet name" dataDxfId="97"/>
    <tableColumn id="2" xr3:uid="{7C0BBB98-1A7D-4386-9200-AB6B86FDDAAE}" name="Worksheet title" dataDxfId="9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B9AA53-CCC2-4207-9D3B-4C3E2D790077}" name="Table_5a" displayName="Table_5a" ref="A6:H15" totalsRowShown="0" headerRowDxfId="95" dataDxfId="94">
  <autoFilter ref="A6:H15" xr:uid="{50B9AA53-CCC2-4207-9D3B-4C3E2D79007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19E48F1-664F-413E-BBFE-75E8015BC446}" name="Time period" dataDxfId="93"/>
    <tableColumn id="2" xr3:uid="{285A2F75-E46A-48A9-94D5-6F18FD21CCD4}" name="England's strategic road network_x000a_ (percentage satisfied)" dataDxfId="92"/>
    <tableColumn id="3" xr3:uid="{29EEDDB6-3E4B-4D9A-8D59-D6694FCBEC8D}" name="Yorkshire and North East_x000a_ (percentage satisfied)" dataDxfId="91"/>
    <tableColumn id="4" xr3:uid="{94C5612E-12E2-488D-AC42-9EE105FA927B}" name="North West_x000a_ (percentage satisfied)" dataDxfId="90"/>
    <tableColumn id="5" xr3:uid="{331CFD12-9B01-463A-B54B-D03674C10F38}" name="Midlands_x000a_ (percentage satisfied)" dataDxfId="89"/>
    <tableColumn id="6" xr3:uid="{95250C00-F3B7-40BF-8F06-9D171599D553}" name="East_x000a_ (percentage satisfied)" dataDxfId="88"/>
    <tableColumn id="7" xr3:uid="{D19CBDBF-F3C8-485F-B247-DAF6585AF2C5}" name="South East_x000a_ (percentage satisfied)" dataDxfId="87"/>
    <tableColumn id="8" xr3:uid="{0A0D0FF4-DB70-4928-AD52-185ED14C3327}" name="South West_x000a_(percentage satisfied)" dataDxfId="8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4F97F00-70AD-4EBC-94AE-34A7B442BA59}" name="Table_5b" displayName="Table_5b" ref="A4:H8" totalsRowShown="0" headerRowDxfId="85" dataDxfId="84">
  <autoFilter ref="A4:H8" xr:uid="{A4F97F00-70AD-4EBC-94AE-34A7B442BA5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DE0A4AF-6848-4422-B0EB-D9D4F7A232D8}" name="Time period" dataDxfId="83"/>
    <tableColumn id="2" xr3:uid="{6F0844CC-6B27-4852-81A2-7F6D7E2A00B5}" name="England's strategic road network_x000a_ (percentage)" dataDxfId="82"/>
    <tableColumn id="3" xr3:uid="{E54E07F8-4978-45F6-B0FB-81BBDB92C230}" name="Yorkshire and North East_x000a_(percentage)" dataDxfId="81"/>
    <tableColumn id="4" xr3:uid="{C46DF05F-FD4A-46B5-A54D-90C7686B6978}" name="North West_x000a_(percentage)" dataDxfId="80"/>
    <tableColumn id="5" xr3:uid="{E87C214F-8EBF-45B4-A0D5-4CBD2DB570D5}" name="Midlands_x000a_(percentage)" dataDxfId="79"/>
    <tableColumn id="6" xr3:uid="{8FE9EA0F-0B99-43F7-827B-5C0B39BCC5B7}" name="East_x000a_(percentage)" dataDxfId="78"/>
    <tableColumn id="7" xr3:uid="{C8AF99EC-CE6A-461C-AFA1-7D837EAB9AB1}" name="South East_x000a_(percentage)" dataDxfId="77"/>
    <tableColumn id="8" xr3:uid="{77A01817-5196-448D-AC3C-9615C3AD1B73}" name="South West_x000a_(percentage)" dataDxfId="7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BAB42-A5B2-42B6-9074-75A36813848D}" name="Table_5c" displayName="Table_5c" ref="A3:H7" totalsRowShown="0" headerRowDxfId="75" dataDxfId="74">
  <autoFilter ref="A3:H7" xr:uid="{2DCBAB42-A5B2-42B6-9074-75A36813848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8448873-44AC-4427-AD29-9305C3F26472}" name="Time period" dataDxfId="73"/>
    <tableColumn id="2" xr3:uid="{DF4BACB1-4E47-4812-81CD-CACAEA7C228E}" name="England's strategic road network_x000a_ (mm:ss)" dataDxfId="72"/>
    <tableColumn id="3" xr3:uid="{C758BA09-1C58-4C55-8CB8-0289FCCB0E4A}" name="Yorkshire and North East_x000a_(mm:ss)" dataDxfId="71"/>
    <tableColumn id="4" xr3:uid="{C2593EF8-7AE6-47D2-A639-8FC050F7822E}" name="North West_x000a_(mm:ss)" dataDxfId="70"/>
    <tableColumn id="5" xr3:uid="{95A6C267-E7FE-467C-9EBC-74AD75173C1D}" name="Midlands_x000a_(mm:ss)" dataDxfId="69"/>
    <tableColumn id="6" xr3:uid="{DB75F92D-4617-4ACA-ABA3-1C7A8771BD77}" name="East_x000a_(mm:ss)" dataDxfId="68"/>
    <tableColumn id="7" xr3:uid="{6475C016-E722-4FAF-B793-BBC0B34D516A}" name="South East_x000a_(mm:ss)" dataDxfId="67"/>
    <tableColumn id="8" xr3:uid="{A6E12230-99F9-4856-A149-6CBD679B3C9D}" name="South West_x000a_(mm:ss)" dataDxfId="6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1A8278-B963-4977-AEA7-011A66C9EC5F}" name="Table_5d" displayName="Table_5d" ref="A3:H7" totalsRowShown="0" headerRowDxfId="65" dataDxfId="64">
  <autoFilter ref="A3:H7" xr:uid="{2C1A8278-B963-4977-AEA7-011A66C9EC5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6B8324F-9F75-4ADC-9FA4-99816EAA1B94}" name="Time period" dataDxfId="63" totalsRowDxfId="62"/>
    <tableColumn id="2" xr3:uid="{C008ACDC-931B-45E3-AB1F-56FBE12ACECA}" name="England's strategic road network_x000a_ (percentage)" dataDxfId="61" totalsRowDxfId="60"/>
    <tableColumn id="3" xr3:uid="{BE39872B-AB01-476C-9C6B-B9B2117CB36E}" name="Yorkshire and North East_x000a_(percentage)" dataDxfId="59" totalsRowDxfId="58"/>
    <tableColumn id="4" xr3:uid="{509B098D-7532-4B30-B461-6F0EFE828DCE}" name="North West_x000a_(percentage)" dataDxfId="57" totalsRowDxfId="56" dataCellStyle="Normal 2 2 21" totalsRowCellStyle="Normal 2 2 21"/>
    <tableColumn id="5" xr3:uid="{65CA1DFE-0788-4772-B603-A7D96F5BDC06}" name="Midlands_x000a_(percentage)" dataDxfId="55" totalsRowDxfId="54" dataCellStyle="Normal 2 2 21" totalsRowCellStyle="Normal 2 2 21"/>
    <tableColumn id="6" xr3:uid="{678881CB-D69C-4B65-A715-41D4B33FFD0D}" name="East_x000a_(percentage)" dataDxfId="53" totalsRowDxfId="52"/>
    <tableColumn id="7" xr3:uid="{2D9C52CE-3DA6-48F1-B3DF-E73CEF8AAADA}" name="South East_x000a_(percentage)" dataDxfId="51" totalsRowDxfId="50"/>
    <tableColumn id="8" xr3:uid="{C2EAB2C5-B662-4387-81F9-CF5BC9D1488C}" name="South West_x000a_(percentage)" dataDxfId="49" totalsRowDxfId="4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27D614-B14F-40D3-B923-525D7E158079}" name="Table_5e" displayName="Table_5e" ref="A3:H7" totalsRowShown="0" headerRowDxfId="47" dataDxfId="46">
  <autoFilter ref="A3:H7" xr:uid="{0C27D614-B14F-40D3-B923-525D7E15807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7163DCA-26C4-45F2-AB14-A394EF325134}" name="Time period" dataDxfId="45"/>
    <tableColumn id="2" xr3:uid="{5FB25F37-30B7-419D-AE32-49A731F295EF}" name="National Highways_x000a_ (percentage)" dataDxfId="44"/>
    <tableColumn id="3" xr3:uid="{820E0207-CB89-4268-BA26-2CE77D9A50DC}" name="Yorkshire and North East_x000a_(percentage)" dataDxfId="43"/>
    <tableColumn id="4" xr3:uid="{BAE046E9-03D3-4775-AC66-7598457C1D90}" name="North West_x000a_(percentage)" dataDxfId="42"/>
    <tableColumn id="5" xr3:uid="{397A98AD-C7DF-474F-BDFD-AF68F329081E}" name="Midlands_x000a_(percentage)" dataDxfId="41"/>
    <tableColumn id="6" xr3:uid="{0C9F9E38-B3F6-45DE-BA3F-6C16EA446F17}" name="East_x000a_(percentage)" dataDxfId="40"/>
    <tableColumn id="7" xr3:uid="{5B61598C-7D6A-481E-BFA5-5BC8EFF57689}" name="South East_x000a_(percentage)" dataDxfId="39"/>
    <tableColumn id="8" xr3:uid="{044CDFE1-3FD8-425A-95E1-C5645C8A5DA9}" name="South West_x000a_(percentage)" dataDxfId="3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5B7D2BF-9C9A-486D-901B-0AE56676464A}" name="data" displayName="data" ref="C2:K27" totalsRowShown="0" headerRowDxfId="37" dataDxfId="36">
  <autoFilter ref="C2:K27" xr:uid="{75B7D2BF-9C9A-486D-901B-0AE56676464A}"/>
  <tableColumns count="9">
    <tableColumn id="1" xr3:uid="{DD609419-1099-4977-9FF9-287A8E3FF122}" name="Year" dataDxfId="35"/>
    <tableColumn id="2" xr3:uid="{668F2F37-559E-46C7-BEBA-6C0E3AB428D8}" name="KPI" dataDxfId="34"/>
    <tableColumn id="3" xr3:uid="{2FD9A91A-9ABC-4ADA-9A78-A1D8E7EC4FB3}" name="National Highways" dataDxfId="33"/>
    <tableColumn id="4" xr3:uid="{766777C8-6C12-41B4-A64B-7328855C75C8}" name="Yorkshire and North East" dataDxfId="32"/>
    <tableColumn id="5" xr3:uid="{FDCF8639-2EFC-4851-9C42-F669D0BFD073}" name="North West_x000a_" dataDxfId="31"/>
    <tableColumn id="6" xr3:uid="{B608A0D0-BDFF-4DD6-A297-180CE64146FE}" name="Midlands_x000a_" dataDxfId="30"/>
    <tableColumn id="7" xr3:uid="{7C365D33-40B0-4915-87AF-21A2CB89076F}" name="East_x000a_" dataDxfId="29"/>
    <tableColumn id="8" xr3:uid="{94493D29-9E94-4306-9CC2-312D985A2F50}" name="South East_x000a_" dataDxfId="28"/>
    <tableColumn id="9" xr3:uid="{0F14E2D1-2898-4344-821F-AF51F9CE4E44}" name="South West_x000a_" dataDxfId="2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iyoedfe3%2Fperformance-monitoring-statements-2019-20.xlsm&amp;wdOrigin=BROWSELINK" TargetMode="External"/><Relationship Id="rId13" Type="http://schemas.openxmlformats.org/officeDocument/2006/relationships/printerSettings" Target="../printerSettings/printerSettings1.bin"/><Relationship Id="rId3" Type="http://schemas.openxmlformats.org/officeDocument/2006/relationships/hyperlink" Target="https://www.transportfocus.org.uk/publication/strategic-roads-user-survey-2022-23-summary-report/" TargetMode="External"/><Relationship Id="rId7" Type="http://schemas.openxmlformats.org/officeDocument/2006/relationships/hyperlink" Target="https://view.officeapps.live.com/op/view.aspx?src=https%3A%2F%2Fnationalhighways.co.uk%2Fmedia%2Fhvwe1jpu%2F2020-21-performance-monitoring-statements.xlsx&amp;wdOrigin=BROWSELINK" TargetMode="External"/><Relationship Id="rId12" Type="http://schemas.openxmlformats.org/officeDocument/2006/relationships/hyperlink" Target="https://nationalhighways.co.uk/media/r3yhcw0q/20240719-national-highways-performance-monitoring-statements-year-end-2023-24.pdf" TargetMode="External"/><Relationship Id="rId2" Type="http://schemas.openxmlformats.org/officeDocument/2006/relationships/hyperlink" Target="https://view.officeapps.live.com/op/view.aspx?src=https%3A%2F%2Fnationalhighways.co.uk%2Fmedia%2Fvqspujiz%2F2022-23-performance-monitoring-statements.xlsx&amp;wdOrigin=BROWSELINK" TargetMode="External"/><Relationship Id="rId1" Type="http://schemas.openxmlformats.org/officeDocument/2006/relationships/hyperlink" Target="https://nationalhighways.co.uk/media/5paempnz/ris2-omm-published-18-july-2023-final.pdf" TargetMode="External"/><Relationship Id="rId6" Type="http://schemas.openxmlformats.org/officeDocument/2006/relationships/hyperlink" Target="https://view.officeapps.live.com/op/view.aspx?src=https%3A%2F%2Fnationalhighways.co.uk%2Fmedia%2Fojuekorw%2F2021-22-performance-monitoring-statements.xlsx&amp;wdOrigin=BROWSELINK" TargetMode="External"/><Relationship Id="rId11" Type="http://schemas.openxmlformats.org/officeDocument/2006/relationships/hyperlink" Target="mailto:highways.monitor@orr.gov.uk" TargetMode="External"/><Relationship Id="rId5" Type="http://schemas.openxmlformats.org/officeDocument/2006/relationships/hyperlink" Target="https://nationalhighways.co.uk/media/qe1cjb2b/nh-srn-simplified-map-2023.pdf" TargetMode="External"/><Relationship Id="rId10" Type="http://schemas.openxmlformats.org/officeDocument/2006/relationships/hyperlink" Target="https://view.officeapps.live.com/op/view.aspx?src=https%3A%2F%2Fnationalhighways.co.uk%2Fmedia%2F420hq5fb%2F2021-22-nh-regional-performance-disaggregation-final.xlsx&amp;wdOrigin=BROWSELINK" TargetMode="External"/><Relationship Id="rId4" Type="http://schemas.openxmlformats.org/officeDocument/2006/relationships/hyperlink" Target="https://nationalhighways.co.uk/media/dnen52ja/abr-v5-171023.pdf" TargetMode="External"/><Relationship Id="rId9" Type="http://schemas.openxmlformats.org/officeDocument/2006/relationships/hyperlink" Target="https://view.officeapps.live.com/op/view.aspx?src=https%3A%2F%2Fnationalhighways.co.uk%2Fmedia%2F420hq5fb%2F2021-22-nh-regional-performance-disaggregation-final.xlsx&amp;wdOrigin=BROWSELIN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rinterSettings" Target="../printerSettings/printerSettings1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3"/>
  <sheetViews>
    <sheetView tabSelected="1" zoomScaleNormal="100" workbookViewId="0"/>
  </sheetViews>
  <sheetFormatPr defaultColWidth="9" defaultRowHeight="15.5"/>
  <cols>
    <col min="1" max="1" width="146.54296875" style="4" customWidth="1"/>
    <col min="2" max="2" width="9" style="4" customWidth="1"/>
    <col min="3" max="3" width="10.54296875" style="4" bestFit="1" customWidth="1"/>
    <col min="4" max="16384" width="9" style="4"/>
  </cols>
  <sheetData>
    <row r="1" spans="1:1" customFormat="1" ht="30" customHeight="1">
      <c r="A1" s="1" t="s">
        <v>136</v>
      </c>
    </row>
    <row r="2" spans="1:1" customFormat="1" ht="335.4" customHeight="1">
      <c r="A2" s="111" t="s">
        <v>138</v>
      </c>
    </row>
    <row r="3" spans="1:1" customFormat="1" ht="74.25" customHeight="1">
      <c r="A3" s="2" t="s">
        <v>0</v>
      </c>
    </row>
    <row r="4" spans="1:1" customFormat="1" ht="84" customHeight="1">
      <c r="A4" s="2" t="s">
        <v>1</v>
      </c>
    </row>
    <row r="5" spans="1:1" customFormat="1">
      <c r="A5" s="39" t="s">
        <v>2</v>
      </c>
    </row>
    <row r="6" spans="1:1" customFormat="1" ht="31">
      <c r="A6" s="2" t="s">
        <v>3</v>
      </c>
    </row>
    <row r="7" spans="1:1" customFormat="1">
      <c r="A7" s="2" t="s">
        <v>4</v>
      </c>
    </row>
    <row r="8" spans="1:1" customFormat="1">
      <c r="A8" s="33" t="s">
        <v>5</v>
      </c>
    </row>
    <row r="9" spans="1:1" customFormat="1" ht="18.5">
      <c r="A9" s="20" t="s">
        <v>6</v>
      </c>
    </row>
    <row r="10" spans="1:1" customFormat="1">
      <c r="A10" s="2" t="s">
        <v>7</v>
      </c>
    </row>
    <row r="11" spans="1:1" customFormat="1">
      <c r="A11" s="118" t="s">
        <v>8</v>
      </c>
    </row>
    <row r="12" spans="1:1" customFormat="1">
      <c r="A12" s="108" t="s">
        <v>9</v>
      </c>
    </row>
    <row r="13" spans="1:1" customFormat="1">
      <c r="A13" s="39" t="s">
        <v>10</v>
      </c>
    </row>
    <row r="14" spans="1:1" customFormat="1">
      <c r="A14" s="39" t="s">
        <v>11</v>
      </c>
    </row>
    <row r="15" spans="1:1" customFormat="1">
      <c r="A15" s="33" t="s">
        <v>12</v>
      </c>
    </row>
    <row r="16" spans="1:1" customFormat="1">
      <c r="A16" s="33" t="s">
        <v>13</v>
      </c>
    </row>
    <row r="17" spans="1:1" customFormat="1">
      <c r="A17" s="2" t="s">
        <v>14</v>
      </c>
    </row>
    <row r="18" spans="1:1" customFormat="1">
      <c r="A18" s="39" t="s">
        <v>15</v>
      </c>
    </row>
    <row r="19" spans="1:1" customFormat="1">
      <c r="A19" s="39" t="s">
        <v>16</v>
      </c>
    </row>
    <row r="20" spans="1:1" customFormat="1">
      <c r="A20" s="33" t="s">
        <v>17</v>
      </c>
    </row>
    <row r="21" spans="1:1" customFormat="1">
      <c r="A21" s="19" t="s">
        <v>18</v>
      </c>
    </row>
    <row r="22" spans="1:1" customFormat="1" ht="18.5">
      <c r="A22" s="25" t="s">
        <v>19</v>
      </c>
    </row>
    <row r="23" spans="1:1" customFormat="1">
      <c r="A23" s="26" t="s">
        <v>20</v>
      </c>
    </row>
    <row r="24" spans="1:1" customFormat="1" ht="18.5">
      <c r="A24" s="34" t="s">
        <v>21</v>
      </c>
    </row>
    <row r="25" spans="1:1" customFormat="1">
      <c r="A25" s="26" t="s">
        <v>22</v>
      </c>
    </row>
    <row r="26" spans="1:1" customFormat="1" ht="18.5">
      <c r="A26" s="34" t="s">
        <v>23</v>
      </c>
    </row>
    <row r="27" spans="1:1" customFormat="1">
      <c r="A27" s="26" t="s">
        <v>24</v>
      </c>
    </row>
    <row r="28" spans="1:1" customFormat="1" ht="18.5">
      <c r="A28" s="35" t="s">
        <v>25</v>
      </c>
    </row>
    <row r="29" spans="1:1" customFormat="1">
      <c r="A29" s="3" t="s">
        <v>132</v>
      </c>
    </row>
    <row r="30" spans="1:1" customFormat="1">
      <c r="A30" s="3" t="s">
        <v>133</v>
      </c>
    </row>
    <row r="31" spans="1:1" ht="18.5">
      <c r="A31" s="36" t="s">
        <v>26</v>
      </c>
    </row>
    <row r="32" spans="1:1">
      <c r="A32" s="13" t="s">
        <v>27</v>
      </c>
    </row>
    <row r="33" spans="1:1">
      <c r="A33" s="3" t="s">
        <v>134</v>
      </c>
    </row>
  </sheetData>
  <hyperlinks>
    <hyperlink ref="A8" r:id="rId1" xr:uid="{BD095FDF-4493-48B0-9A41-3F177E38C34C}"/>
    <hyperlink ref="A12" r:id="rId2" xr:uid="{6BEDA18A-17A1-49DE-9DDC-5735C7A83F3A}"/>
    <hyperlink ref="A16" r:id="rId3" xr:uid="{EDC49703-DF58-41A2-AAB5-3C413E7613A7}"/>
    <hyperlink ref="A18" r:id="rId4" xr:uid="{F7913471-C3ED-49E5-80BF-E840FA6416DE}"/>
    <hyperlink ref="A5" r:id="rId5" display="National Highway's roads" xr:uid="{FDFCEBC7-4FA0-4B6E-873E-DC42D7F6941E}"/>
    <hyperlink ref="A13" r:id="rId6" display="https://view.officeapps.live.com/op/view.aspx?src=https%3A%2F%2Fnationalhighways.co.uk%2Fmedia%2Fojuekorw%2F2021-22-performance-monitoring-statements.xlsx&amp;wdOrigin=BROWSELINK" xr:uid="{A4402AF3-ED55-4324-8721-A8A4A56DA041}"/>
    <hyperlink ref="A14" r:id="rId7" display="https://view.officeapps.live.com/op/view.aspx?src=https%3A%2F%2Fnationalhighways.co.uk%2Fmedia%2Fhvwe1jpu%2F2020-21-performance-monitoring-statements.xlsx&amp;wdOrigin=BROWSELINK" xr:uid="{C6EB4082-7560-4E8D-A638-BCA069F39736}"/>
    <hyperlink ref="A15" r:id="rId8" display="https://view.officeapps.live.com/op/view.aspx?src=https%3A%2F%2Fnationalhighways.co.uk%2Fmedia%2Fiyoedfe3%2Fperformance-monitoring-statements-2019-20.xlsm&amp;wdOrigin=BROWSELINK" xr:uid="{74F08A32-5D7A-4FE6-9334-9E3B24ACF4E6}"/>
    <hyperlink ref="A19" r:id="rId9" display="https://view.officeapps.live.com/op/view.aspx?src=https%3A%2F%2Fnationalhighways.co.uk%2Fmedia%2F420hq5fb%2F2021-22-nh-regional-performance-disaggregation-final.xlsx&amp;wdOrigin=BROWSELINK" xr:uid="{05A26735-863B-4335-89AF-B9605F297CF1}"/>
    <hyperlink ref="A20" r:id="rId10" display="https://view.officeapps.live.com/op/view.aspx?src=https%3A%2F%2Fnationalhighways.co.uk%2Fmedia%2F420hq5fb%2F2021-22-nh-regional-performance-disaggregation-final.xlsx&amp;wdOrigin=BROWSELINK" xr:uid="{EA6007D4-09C3-4556-995A-8CEC6F56F10C}"/>
    <hyperlink ref="A32" r:id="rId11" xr:uid="{891E9A97-DE31-4A27-8649-C830B8BF78A5}"/>
    <hyperlink ref="A11" r:id="rId12" xr:uid="{C9A90756-4BB1-4512-B500-F9E67F2CB5D7}"/>
  </hyperlinks>
  <pageMargins left="0.70000000000000007" right="0.70000000000000007" top="0.75" bottom="0.75" header="0.30000000000000004" footer="0.30000000000000004"/>
  <pageSetup paperSize="9" fitToWidth="0" fitToHeight="0" orientation="portrait"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5E5F-A252-4D78-90D2-69BC7CA84687}">
  <sheetPr codeName="Sheet9">
    <tabColor rgb="FFFFC000"/>
  </sheetPr>
  <dimension ref="A2:U27"/>
  <sheetViews>
    <sheetView zoomScale="85" zoomScaleNormal="85" workbookViewId="0">
      <selection activeCell="E9" sqref="E9:K9"/>
    </sheetView>
  </sheetViews>
  <sheetFormatPr defaultRowHeight="14.5"/>
  <cols>
    <col min="2" max="2" width="32.90625" bestFit="1" customWidth="1"/>
    <col min="4" max="4" width="24.08984375" style="66" customWidth="1"/>
    <col min="5" max="5" width="17.08984375" customWidth="1"/>
    <col min="6" max="6" width="21.90625" customWidth="1"/>
    <col min="7" max="11" width="9.453125" bestFit="1" customWidth="1"/>
  </cols>
  <sheetData>
    <row r="2" spans="1:21" s="77" customFormat="1" ht="39">
      <c r="A2" s="77" t="s">
        <v>96</v>
      </c>
      <c r="B2" s="77" t="s">
        <v>97</v>
      </c>
      <c r="C2" s="80" t="s">
        <v>98</v>
      </c>
      <c r="D2" s="85" t="s">
        <v>99</v>
      </c>
      <c r="E2" s="81" t="s">
        <v>100</v>
      </c>
      <c r="F2" s="82" t="s">
        <v>101</v>
      </c>
      <c r="G2" s="82" t="s">
        <v>102</v>
      </c>
      <c r="H2" s="82" t="s">
        <v>103</v>
      </c>
      <c r="I2" s="82" t="s">
        <v>104</v>
      </c>
      <c r="J2" s="82" t="s">
        <v>105</v>
      </c>
      <c r="K2" s="83" t="s">
        <v>106</v>
      </c>
      <c r="L2" s="94"/>
    </row>
    <row r="3" spans="1:21">
      <c r="A3" t="str">
        <f>LEFT(Table_5a!$A$1,8)</f>
        <v>Table 5a</v>
      </c>
      <c r="B3" t="str">
        <f>Table_5a!A7</f>
        <v>April 2015 to March 2016</v>
      </c>
      <c r="C3" s="79" t="str">
        <f>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f>
        <v>2015-16</v>
      </c>
      <c r="D3" s="86" t="s">
        <v>107</v>
      </c>
      <c r="E3" s="87">
        <f>VLOOKUP($B3,Table_5a[#All],COLUMN(E$1)-3,FALSE)</f>
        <v>89.3</v>
      </c>
      <c r="F3" s="87">
        <f>VLOOKUP($B3,Table_5a[#All],COLUMN(F$1)-3,FALSE)</f>
        <v>86.09</v>
      </c>
      <c r="G3" s="87">
        <f>VLOOKUP($B3,Table_5a[#All],COLUMN(G$1)-3,FALSE)</f>
        <v>83.54</v>
      </c>
      <c r="H3" s="87">
        <f>VLOOKUP($B3,Table_5a[#All],COLUMN(H$1)-3,FALSE)</f>
        <v>89.05</v>
      </c>
      <c r="I3" s="87">
        <f>VLOOKUP($B3,Table_5a[#All],COLUMN(I$1)-3,FALSE)</f>
        <v>91.75</v>
      </c>
      <c r="J3" s="87">
        <f>VLOOKUP($B3,Table_5a[#All],COLUMN(J$1)-3,FALSE)</f>
        <v>89.070000000000007</v>
      </c>
      <c r="K3" s="87">
        <f>VLOOKUP($B3,Table_5a[#All],COLUMN(K$1)-3,FALSE)</f>
        <v>91.100000000000009</v>
      </c>
      <c r="L3" s="87"/>
    </row>
    <row r="4" spans="1:21">
      <c r="A4" t="str">
        <f>LEFT(Table_5a!$A$1,8)</f>
        <v>Table 5a</v>
      </c>
      <c r="B4" t="str">
        <f>Table_5a!A8</f>
        <v>April 2016 to March 2017</v>
      </c>
      <c r="C4" s="79" t="str">
        <f t="shared" ref="C4:C25" si="0">IF(ISNUMBER(SEARCH("2015",B4)),"2015-16",IF(ISNUMBER(SEARCH("2016",B4)),"2016-17",IF(ISNUMBER(SEARCH("2017",B4)),"2017-18",IF(ISNUMBER(SEARCH("2018",B4)),"2018-19",IF(ISNUMBER(SEARCH("2019",B4)),"2019-20",IF(ISNUMBER(SEARCH("2020",B4)),"2020-21",IF(ISNUMBER(SEARCH("2021",B4)),"2021-22",IF(ISNUMBER(SEARCH("2022",B4)),"2022-23",IF(ISNUMBER(SEARCH("2023",B4)),"2023-24",IF(ISNUMBER(SEARCH("2024",B4)),"2024-25",IF(ISNUMBER(SEARCH("2025",B4)),"2025-26","")))))))))))</f>
        <v>2016-17</v>
      </c>
      <c r="D4" s="86" t="s">
        <v>107</v>
      </c>
      <c r="E4" s="87">
        <f>VLOOKUP($B4,Table_5a[#All],COLUMN(E$1)-3,FALSE)</f>
        <v>89.1</v>
      </c>
      <c r="F4" s="87">
        <f>VLOOKUP($B4,Table_5a[#All],COLUMN(F$1)-3,FALSE)</f>
        <v>87.99</v>
      </c>
      <c r="G4" s="87">
        <f>VLOOKUP($B4,Table_5a[#All],COLUMN(G$1)-3,FALSE)</f>
        <v>82.99</v>
      </c>
      <c r="H4" s="87">
        <f>VLOOKUP($B4,Table_5a[#All],COLUMN(H$1)-3,FALSE)</f>
        <v>86.839999999999989</v>
      </c>
      <c r="I4" s="87">
        <f>VLOOKUP($B4,Table_5a[#All],COLUMN(I$1)-3,FALSE)</f>
        <v>91.05</v>
      </c>
      <c r="J4" s="87">
        <f>VLOOKUP($B4,Table_5a[#All],COLUMN(J$1)-3,FALSE)</f>
        <v>88.460000000000008</v>
      </c>
      <c r="K4" s="87">
        <f>VLOOKUP($B4,Table_5a[#All],COLUMN(K$1)-3,FALSE)</f>
        <v>90.83</v>
      </c>
      <c r="L4" s="87"/>
    </row>
    <row r="5" spans="1:21">
      <c r="A5" t="str">
        <f>LEFT(Table_5a!$A$1,8)</f>
        <v>Table 5a</v>
      </c>
      <c r="B5" t="str">
        <f>Table_5a!A9</f>
        <v>April 2017 to March 2018</v>
      </c>
      <c r="C5" s="79" t="str">
        <f t="shared" si="0"/>
        <v>2017-18</v>
      </c>
      <c r="D5" s="86" t="s">
        <v>107</v>
      </c>
      <c r="E5" s="87">
        <f>VLOOKUP($B5,Table_5a[#All],COLUMN(E$1)-3,FALSE)</f>
        <v>88.7</v>
      </c>
      <c r="F5" s="87">
        <f>VLOOKUP($B5,Table_5a[#All],COLUMN(F$1)-3,FALSE)</f>
        <v>88.3</v>
      </c>
      <c r="G5" s="87">
        <f>VLOOKUP($B5,Table_5a[#All],COLUMN(G$1)-3,FALSE)</f>
        <v>77.900000000000006</v>
      </c>
      <c r="H5" s="87">
        <f>VLOOKUP($B5,Table_5a[#All],COLUMN(H$1)-3,FALSE)</f>
        <v>88.6</v>
      </c>
      <c r="I5" s="87">
        <f>VLOOKUP($B5,Table_5a[#All],COLUMN(I$1)-3,FALSE)</f>
        <v>90.3</v>
      </c>
      <c r="J5" s="87">
        <f>VLOOKUP($B5,Table_5a[#All],COLUMN(J$1)-3,FALSE)</f>
        <v>90.8</v>
      </c>
      <c r="K5" s="87">
        <f>VLOOKUP($B5,Table_5a[#All],COLUMN(K$1)-3,FALSE)</f>
        <v>88.8</v>
      </c>
      <c r="L5" s="87"/>
    </row>
    <row r="6" spans="1:21">
      <c r="A6" t="str">
        <f>LEFT(Table_5a!$A$1,8)</f>
        <v>Table 5a</v>
      </c>
      <c r="B6" t="str">
        <f>Table_5a!A10</f>
        <v>April 2018 to March 2019</v>
      </c>
      <c r="C6" s="79" t="str">
        <f t="shared" si="0"/>
        <v>2018-19</v>
      </c>
      <c r="D6" s="86" t="s">
        <v>107</v>
      </c>
      <c r="E6" s="87">
        <f>VLOOKUP($B6,Table_5a[#All],COLUMN(E$1)-3,FALSE)</f>
        <v>88.4</v>
      </c>
      <c r="F6" s="87">
        <f>VLOOKUP($B6,Table_5a[#All],COLUMN(F$1)-3,FALSE)</f>
        <v>91.12</v>
      </c>
      <c r="G6" s="87">
        <f>VLOOKUP($B6,Table_5a[#All],COLUMN(G$1)-3,FALSE)</f>
        <v>84</v>
      </c>
      <c r="H6" s="87">
        <f>VLOOKUP($B6,Table_5a[#All],COLUMN(H$1)-3,FALSE)</f>
        <v>88.26</v>
      </c>
      <c r="I6" s="87">
        <f>VLOOKUP($B6,Table_5a[#All],COLUMN(I$1)-3,FALSE)</f>
        <v>90.29</v>
      </c>
      <c r="J6" s="87">
        <f>VLOOKUP($B6,Table_5a[#All],COLUMN(J$1)-3,FALSE)</f>
        <v>86.429999999999993</v>
      </c>
      <c r="K6" s="87">
        <f>VLOOKUP($B6,Table_5a[#All],COLUMN(K$1)-3,FALSE)</f>
        <v>88.83</v>
      </c>
      <c r="L6" s="87"/>
    </row>
    <row r="7" spans="1:21">
      <c r="A7" t="str">
        <f>LEFT(Table_5a!$A$1,8)</f>
        <v>Table 5a</v>
      </c>
      <c r="B7" t="str">
        <f>Table_5a!A11</f>
        <v>April 2019 to March 2020</v>
      </c>
      <c r="C7" s="79" t="str">
        <f t="shared" si="0"/>
        <v>2019-20</v>
      </c>
      <c r="D7" s="86" t="s">
        <v>107</v>
      </c>
      <c r="E7" s="87">
        <f>VLOOKUP($B7,Table_5a[#All],COLUMN(E$1)-3,FALSE)</f>
        <v>89.2</v>
      </c>
      <c r="F7" s="87">
        <f>VLOOKUP($B7,Table_5a[#All],COLUMN(F$1)-3,FALSE)</f>
        <v>92.63</v>
      </c>
      <c r="G7" s="87">
        <f>VLOOKUP($B7,Table_5a[#All],COLUMN(G$1)-3,FALSE)</f>
        <v>85.22</v>
      </c>
      <c r="H7" s="87">
        <f>VLOOKUP($B7,Table_5a[#All],COLUMN(H$1)-3,FALSE)</f>
        <v>89.89</v>
      </c>
      <c r="I7" s="87">
        <f>VLOOKUP($B7,Table_5a[#All],COLUMN(I$1)-3,FALSE)</f>
        <v>88.160000000000011</v>
      </c>
      <c r="J7" s="87">
        <f>VLOOKUP($B7,Table_5a[#All],COLUMN(J$1)-3,FALSE)</f>
        <v>88.69</v>
      </c>
      <c r="K7" s="87">
        <f>VLOOKUP($B7,Table_5a[#All],COLUMN(K$1)-3,FALSE)</f>
        <v>88.17</v>
      </c>
      <c r="L7" s="87"/>
    </row>
    <row r="8" spans="1:21">
      <c r="A8" t="str">
        <f>LEFT(Table_5a!$A$1,8)</f>
        <v>Table 5a</v>
      </c>
      <c r="B8" t="str">
        <f>Table_5a!A12</f>
        <v>April 2020 to March 2021  [Note 2] [b]</v>
      </c>
      <c r="C8" s="79" t="str">
        <f t="shared" si="0"/>
        <v>2020-21</v>
      </c>
      <c r="D8" s="86" t="s">
        <v>107</v>
      </c>
      <c r="E8" s="87"/>
      <c r="F8" s="87"/>
      <c r="G8" s="87"/>
      <c r="H8" s="87"/>
      <c r="I8" s="87"/>
      <c r="J8" s="87"/>
      <c r="K8" s="87"/>
      <c r="L8" s="87"/>
    </row>
    <row r="9" spans="1:21">
      <c r="A9" t="str">
        <f>LEFT(Table_5a!$A$1,8)</f>
        <v>Table 5a</v>
      </c>
      <c r="B9" t="str">
        <f>Table_5a!A13</f>
        <v>April 2021 to March 2022</v>
      </c>
      <c r="C9" s="79" t="str">
        <f t="shared" si="0"/>
        <v>2021-22</v>
      </c>
      <c r="D9" s="86" t="s">
        <v>107</v>
      </c>
      <c r="E9" s="87"/>
      <c r="F9" s="87"/>
      <c r="G9" s="87"/>
      <c r="H9" s="87"/>
      <c r="I9" s="87"/>
      <c r="J9" s="87"/>
      <c r="K9" s="87"/>
      <c r="L9" s="87"/>
    </row>
    <row r="10" spans="1:21">
      <c r="A10" t="str">
        <f>LEFT(Table_5a!$A$1,8)</f>
        <v>Table 5a</v>
      </c>
      <c r="B10" t="str">
        <f>Table_5a!A14</f>
        <v>April 2022 to March 2023</v>
      </c>
      <c r="C10" s="79" t="str">
        <f t="shared" si="0"/>
        <v>2022-23</v>
      </c>
      <c r="D10" s="86" t="s">
        <v>107</v>
      </c>
      <c r="E10" s="87">
        <f>VLOOKUP($B10,Table_5a[#All],COLUMN(E$1)-3,FALSE)</f>
        <v>73</v>
      </c>
      <c r="F10" s="87">
        <f>VLOOKUP($B10,Table_5a[#All],COLUMN(F$1)-3,FALSE)</f>
        <v>72.900000000000006</v>
      </c>
      <c r="G10" s="87">
        <f>VLOOKUP($B10,Table_5a[#All],COLUMN(G$1)-3,FALSE)</f>
        <v>69.599999999999994</v>
      </c>
      <c r="H10" s="87">
        <f>VLOOKUP($B10,Table_5a[#All],COLUMN(H$1)-3,FALSE)</f>
        <v>72.7</v>
      </c>
      <c r="I10" s="87">
        <f>VLOOKUP($B10,Table_5a[#All],COLUMN(I$1)-3,FALSE)</f>
        <v>72.2</v>
      </c>
      <c r="J10" s="87">
        <f>VLOOKUP($B10,Table_5a[#All],COLUMN(J$1)-3,FALSE)</f>
        <v>71.5</v>
      </c>
      <c r="K10" s="87">
        <f>VLOOKUP($B10,Table_5a[#All],COLUMN(K$1)-3,FALSE)</f>
        <v>80.2</v>
      </c>
      <c r="L10" s="87"/>
    </row>
    <row r="11" spans="1:21">
      <c r="A11" t="str">
        <f>LEFT(Table_5a!$A$1,8)</f>
        <v>Table 5a</v>
      </c>
      <c r="B11" t="str">
        <f>Table_5a!A15</f>
        <v>April 2023 to March 2024</v>
      </c>
      <c r="C11" s="79" t="str">
        <f t="shared" ref="C11" si="1">IF(ISNUMBER(SEARCH("2015",B11)),"2015-16",IF(ISNUMBER(SEARCH("2016",B11)),"2016-17",IF(ISNUMBER(SEARCH("2017",B11)),"2017-18",IF(ISNUMBER(SEARCH("2018",B11)),"2018-19",IF(ISNUMBER(SEARCH("2019",B11)),"2019-20",IF(ISNUMBER(SEARCH("2020",B11)),"2020-21",IF(ISNUMBER(SEARCH("2021",B11)),"2021-22",IF(ISNUMBER(SEARCH("2022",B11)),"2022-23",IF(ISNUMBER(SEARCH("2023",B11)),"2023-24",IF(ISNUMBER(SEARCH("2024",B11)),"2024-25",IF(ISNUMBER(SEARCH("2025",B11)),"2025-26","")))))))))))</f>
        <v>2023-24</v>
      </c>
      <c r="D11" s="86" t="s">
        <v>107</v>
      </c>
      <c r="E11" s="87">
        <f>VLOOKUP($B11,Table_5a[#All],COLUMN(E$1)-3,FALSE)</f>
        <v>71</v>
      </c>
      <c r="F11" s="87" t="str">
        <f>VLOOKUP($B11,Table_5a[#All],COLUMN(F$1)-3,FALSE)</f>
        <v>[x]</v>
      </c>
      <c r="G11" s="87" t="str">
        <f>VLOOKUP($B11,Table_5a[#All],COLUMN(G$1)-3,FALSE)</f>
        <v>[x]</v>
      </c>
      <c r="H11" s="87" t="str">
        <f>VLOOKUP($B11,Table_5a[#All],COLUMN(H$1)-3,FALSE)</f>
        <v>[x]</v>
      </c>
      <c r="I11" s="87" t="str">
        <f>VLOOKUP($B11,Table_5a[#All],COLUMN(I$1)-3,FALSE)</f>
        <v>[x]</v>
      </c>
      <c r="J11" s="87" t="str">
        <f>VLOOKUP($B11,Table_5a[#All],COLUMN(J$1)-3,FALSE)</f>
        <v>[x]</v>
      </c>
      <c r="K11" s="87" t="str">
        <f>VLOOKUP($B11,Table_5a[#All],COLUMN(K$1)-3,FALSE)</f>
        <v>[x]</v>
      </c>
      <c r="L11" s="87"/>
    </row>
    <row r="12" spans="1:21">
      <c r="A12" t="str">
        <f>LEFT(Table_5b!$A$1,8)</f>
        <v>Table 5b</v>
      </c>
      <c r="B12" t="str">
        <f>Table_5b!A5</f>
        <v>April 2020 to March 2021 [Note 1]</v>
      </c>
      <c r="C12" s="79" t="str">
        <f t="shared" si="0"/>
        <v>2020-21</v>
      </c>
      <c r="D12" s="86" t="s">
        <v>108</v>
      </c>
      <c r="E12" s="79">
        <f>VLOOKUP($B12,Table_5b[#All],COLUMN(E$1)-3,FALSE)</f>
        <v>54.5</v>
      </c>
      <c r="F12" s="79">
        <f>VLOOKUP($B12,Table_5b[#All],COLUMN(F$1)-3,FALSE)</f>
        <v>58.4</v>
      </c>
      <c r="G12" s="79">
        <f>VLOOKUP($B12,Table_5b[#All],COLUMN(G$1)-3,FALSE)</f>
        <v>58.3</v>
      </c>
      <c r="H12" s="79">
        <f>VLOOKUP($B12,Table_5b[#All],COLUMN(H$1)-3,FALSE)</f>
        <v>66.3</v>
      </c>
      <c r="I12" s="79">
        <f>VLOOKUP($B12,Table_5b[#All],COLUMN(I$1)-3,FALSE)</f>
        <v>58</v>
      </c>
      <c r="J12" s="79">
        <f>VLOOKUP($B12,Table_5b[#All],COLUMN(J$1)-3,FALSE)</f>
        <v>42.4</v>
      </c>
      <c r="K12" s="79">
        <f>VLOOKUP($B12,Table_5b[#All],COLUMN(K$1)-3,FALSE)</f>
        <v>63.5</v>
      </c>
      <c r="L12" s="87"/>
    </row>
    <row r="13" spans="1:21">
      <c r="A13" t="str">
        <f>LEFT(Table_5b!$A$1,8)</f>
        <v>Table 5b</v>
      </c>
      <c r="B13" t="str">
        <f>Table_5b!A6</f>
        <v>April 2021 to March 2022</v>
      </c>
      <c r="C13" s="79" t="str">
        <f t="shared" si="0"/>
        <v>2021-22</v>
      </c>
      <c r="D13" s="86" t="s">
        <v>108</v>
      </c>
      <c r="E13" s="79">
        <f>VLOOKUP($B13,Table_5b[#All],COLUMN(E$1)-3,FALSE)</f>
        <v>68.099999999999994</v>
      </c>
      <c r="F13" s="79">
        <f>VLOOKUP($B13,Table_5b[#All],COLUMN(F$1)-3,FALSE)</f>
        <v>62.1</v>
      </c>
      <c r="G13" s="79">
        <f>VLOOKUP($B13,Table_5b[#All],COLUMN(G$1)-3,FALSE)</f>
        <v>66.7</v>
      </c>
      <c r="H13" s="79">
        <f>VLOOKUP($B13,Table_5b[#All],COLUMN(H$1)-3,FALSE)</f>
        <v>73.8</v>
      </c>
      <c r="I13" s="79">
        <f>VLOOKUP($B13,Table_5b[#All],COLUMN(I$1)-3,FALSE)</f>
        <v>72.099999999999994</v>
      </c>
      <c r="J13" s="79">
        <f>VLOOKUP($B13,Table_5b[#All],COLUMN(J$1)-3,FALSE)</f>
        <v>63.4</v>
      </c>
      <c r="K13" s="79">
        <f>VLOOKUP($B13,Table_5b[#All],COLUMN(K$1)-3,FALSE)</f>
        <v>73.7</v>
      </c>
      <c r="L13" s="87"/>
    </row>
    <row r="14" spans="1:21">
      <c r="A14" t="str">
        <f>LEFT(Table_5b!$A$1,8)</f>
        <v>Table 5b</v>
      </c>
      <c r="B14" t="str">
        <f>Table_5b!A7</f>
        <v>April 2022 to March 2023</v>
      </c>
      <c r="C14" s="79" t="str">
        <f t="shared" si="0"/>
        <v>2022-23</v>
      </c>
      <c r="D14" s="86" t="s">
        <v>108</v>
      </c>
      <c r="E14" s="79">
        <f>VLOOKUP($B14,Table_5b[#All],COLUMN(E$1)-3,FALSE)</f>
        <v>70</v>
      </c>
      <c r="F14" s="79">
        <f>VLOOKUP($B14,Table_5b[#All],COLUMN(F$1)-3,FALSE)</f>
        <v>70.2</v>
      </c>
      <c r="G14" s="79">
        <f>VLOOKUP($B14,Table_5b[#All],COLUMN(G$1)-3,FALSE)</f>
        <v>78.900000000000006</v>
      </c>
      <c r="H14" s="79">
        <f>VLOOKUP($B14,Table_5b[#All],COLUMN(H$1)-3,FALSE)</f>
        <v>68.3</v>
      </c>
      <c r="I14" s="79">
        <f>VLOOKUP($B14,Table_5b[#All],COLUMN(I$1)-3,FALSE)</f>
        <v>75.599999999999994</v>
      </c>
      <c r="J14" s="79">
        <f>VLOOKUP($B14,Table_5b[#All],COLUMN(J$1)-3,FALSE)</f>
        <v>61.5</v>
      </c>
      <c r="K14" s="79">
        <f>VLOOKUP($B14,Table_5b[#All],COLUMN(K$1)-3,FALSE)</f>
        <v>79.7</v>
      </c>
      <c r="L14" s="87"/>
    </row>
    <row r="15" spans="1:21">
      <c r="A15" t="str">
        <f>LEFT(Table_5b!$A$1,8)</f>
        <v>Table 5b</v>
      </c>
      <c r="B15" t="str">
        <f>Table_5b!A8</f>
        <v>April 2023 to March 2024</v>
      </c>
      <c r="C15" s="79" t="str">
        <f t="shared" ref="C15" si="2">IF(ISNUMBER(SEARCH("2015",B15)),"2015-16",IF(ISNUMBER(SEARCH("2016",B15)),"2016-17",IF(ISNUMBER(SEARCH("2017",B15)),"2017-18",IF(ISNUMBER(SEARCH("2018",B15)),"2018-19",IF(ISNUMBER(SEARCH("2019",B15)),"2019-20",IF(ISNUMBER(SEARCH("2020",B15)),"2020-21",IF(ISNUMBER(SEARCH("2021",B15)),"2021-22",IF(ISNUMBER(SEARCH("2022",B15)),"2022-23",IF(ISNUMBER(SEARCH("2023",B15)),"2023-24",IF(ISNUMBER(SEARCH("2024",B15)),"2024-25",IF(ISNUMBER(SEARCH("2025",B15)),"2025-26","")))))))))))</f>
        <v>2023-24</v>
      </c>
      <c r="D15" s="86" t="s">
        <v>108</v>
      </c>
      <c r="E15" s="79">
        <f>VLOOKUP($B15,Table_5b[#All],COLUMN(E$1)-3,FALSE)</f>
        <v>71.099999999999994</v>
      </c>
      <c r="F15" s="79" t="str">
        <f>VLOOKUP($B15,Table_5b[#All],COLUMN(F$1)-3,FALSE)</f>
        <v>[x]</v>
      </c>
      <c r="G15" s="79" t="str">
        <f>VLOOKUP($B15,Table_5b[#All],COLUMN(G$1)-3,FALSE)</f>
        <v>[x]</v>
      </c>
      <c r="H15" s="79" t="str">
        <f>VLOOKUP($B15,Table_5b[#All],COLUMN(H$1)-3,FALSE)</f>
        <v>[x]</v>
      </c>
      <c r="I15" s="79" t="str">
        <f>VLOOKUP($B15,Table_5b[#All],COLUMN(I$1)-3,FALSE)</f>
        <v>[x]</v>
      </c>
      <c r="J15" s="79" t="str">
        <f>VLOOKUP($B15,Table_5b[#All],COLUMN(J$1)-3,FALSE)</f>
        <v>[x]</v>
      </c>
      <c r="K15" s="79" t="str">
        <f>VLOOKUP($B15,Table_5b[#All],COLUMN(K$1)-3,FALSE)</f>
        <v>[x]</v>
      </c>
      <c r="L15" s="87"/>
    </row>
    <row r="16" spans="1:21" ht="15.5">
      <c r="A16" t="str">
        <f>LEFT(Table_5c!$A$1,8)</f>
        <v>Table 5c</v>
      </c>
      <c r="B16" t="str">
        <f>Table_5c!A4</f>
        <v>April 2020 to March 2021</v>
      </c>
      <c r="C16" s="79" t="str">
        <f t="shared" si="0"/>
        <v>2020-21</v>
      </c>
      <c r="D16" s="86" t="s">
        <v>109</v>
      </c>
      <c r="E16" s="84">
        <f>VLOOKUP($B16,Table_5c[#All],COLUMN(E$1)-3,FALSE)</f>
        <v>1.3078703703703705E-3</v>
      </c>
      <c r="F16" s="84">
        <f>VLOOKUP($B16,Table_5c[#All],COLUMN(F$1)-3,FALSE)</f>
        <v>1.6087962962962963E-3</v>
      </c>
      <c r="G16" s="84">
        <f>VLOOKUP($B16,Table_5c[#All],COLUMN(G$1)-3,FALSE)</f>
        <v>1.0879629629629629E-3</v>
      </c>
      <c r="H16" s="84">
        <f>VLOOKUP($B16,Table_5c[#All],COLUMN(H$1)-3,FALSE)</f>
        <v>1.25E-3</v>
      </c>
      <c r="I16" s="84">
        <f>VLOOKUP($B16,Table_5c[#All],COLUMN(I$1)-3,FALSE)</f>
        <v>1.3078703703703705E-3</v>
      </c>
      <c r="J16" s="84">
        <f>VLOOKUP($B16,Table_5c[#All],COLUMN(J$1)-3,FALSE)</f>
        <v>1.4930555555555556E-3</v>
      </c>
      <c r="K16" s="84">
        <f>VLOOKUP($B16,Table_5c[#All],COLUMN(K$1)-3,FALSE)</f>
        <v>1.1921296296296296E-3</v>
      </c>
      <c r="L16" s="87"/>
      <c r="N16" s="21"/>
      <c r="O16" s="21"/>
      <c r="P16" s="21"/>
      <c r="Q16" s="21"/>
      <c r="R16" s="21"/>
      <c r="S16" s="21"/>
      <c r="T16" s="21"/>
      <c r="U16" s="21"/>
    </row>
    <row r="17" spans="1:21" ht="15.5">
      <c r="A17" t="str">
        <f>LEFT(Table_5c!$A$1,8)</f>
        <v>Table 5c</v>
      </c>
      <c r="B17" t="str">
        <f>Table_5c!A5</f>
        <v>April 2021 to March 2022</v>
      </c>
      <c r="C17" s="79" t="str">
        <f t="shared" si="0"/>
        <v>2021-22</v>
      </c>
      <c r="D17" s="86" t="s">
        <v>109</v>
      </c>
      <c r="E17" s="84">
        <f>VLOOKUP($B17,Table_5c[#All],COLUMN(E$1)-3,FALSE)</f>
        <v>1.5162037037037036E-3</v>
      </c>
      <c r="F17" s="84">
        <f>VLOOKUP($B17,Table_5c[#All],COLUMN(F$1)-3,FALSE)</f>
        <v>2.1990740740740742E-3</v>
      </c>
      <c r="G17" s="84">
        <f>VLOOKUP($B17,Table_5c[#All],COLUMN(G$1)-3,FALSE)</f>
        <v>1.2152777777777778E-3</v>
      </c>
      <c r="H17" s="84">
        <f>VLOOKUP($B17,Table_5c[#All],COLUMN(H$1)-3,FALSE)</f>
        <v>9.9537037037037042E-4</v>
      </c>
      <c r="I17" s="84">
        <f>VLOOKUP($B17,Table_5c[#All],COLUMN(I$1)-3,FALSE)</f>
        <v>1.3078703703703705E-3</v>
      </c>
      <c r="J17" s="84">
        <f>VLOOKUP($B17,Table_5c[#All],COLUMN(J$1)-3,FALSE)</f>
        <v>1.4351851851851854E-3</v>
      </c>
      <c r="K17" s="84">
        <f>VLOOKUP($B17,Table_5c[#All],COLUMN(K$1)-3,FALSE)</f>
        <v>1.8865740740740742E-3</v>
      </c>
      <c r="L17" s="87"/>
      <c r="N17" s="21"/>
      <c r="O17" s="21"/>
      <c r="P17" s="21"/>
      <c r="Q17" s="21"/>
      <c r="R17" s="21"/>
      <c r="S17" s="21"/>
      <c r="T17" s="21"/>
      <c r="U17" s="21"/>
    </row>
    <row r="18" spans="1:21" ht="15.5">
      <c r="A18" t="str">
        <f>LEFT(Table_5c!$A$1,8)</f>
        <v>Table 5c</v>
      </c>
      <c r="B18" t="str">
        <f>Table_5c!A6</f>
        <v>April 2022 to March 2023</v>
      </c>
      <c r="C18" s="79" t="str">
        <f t="shared" si="0"/>
        <v>2022-23</v>
      </c>
      <c r="D18" s="86" t="s">
        <v>109</v>
      </c>
      <c r="E18" s="84">
        <f>VLOOKUP($B18,Table_5c[#All],COLUMN(E$1)-3,FALSE)</f>
        <v>1.6203703703703703E-3</v>
      </c>
      <c r="F18" s="84">
        <f>VLOOKUP($B18,Table_5c[#All],COLUMN(F$1)-3,FALSE)</f>
        <v>1.7939814814814815E-3</v>
      </c>
      <c r="G18" s="84">
        <f>VLOOKUP($B18,Table_5c[#All],COLUMN(G$1)-3,FALSE)</f>
        <v>1.6782407407407406E-3</v>
      </c>
      <c r="H18" s="84">
        <f>VLOOKUP($B18,Table_5c[#All],COLUMN(H$1)-3,FALSE)</f>
        <v>1.8055555555555557E-3</v>
      </c>
      <c r="I18" s="84">
        <f>VLOOKUP($B18,Table_5c[#All],COLUMN(I$1)-3,FALSE)</f>
        <v>1.3888888888888889E-3</v>
      </c>
      <c r="J18" s="84">
        <f>VLOOKUP($B18,Table_5c[#All],COLUMN(J$1)-3,FALSE)</f>
        <v>1.3888888888888889E-3</v>
      </c>
      <c r="K18" s="84">
        <f>VLOOKUP($B18,Table_5c[#All],COLUMN(K$1)-3,FALSE)</f>
        <v>1.8402777777777777E-3</v>
      </c>
      <c r="L18" s="87"/>
      <c r="N18" s="21"/>
      <c r="O18" s="21"/>
      <c r="P18" s="21"/>
      <c r="Q18" s="21"/>
      <c r="R18" s="21"/>
      <c r="S18" s="21"/>
      <c r="T18" s="21"/>
      <c r="U18" s="21"/>
    </row>
    <row r="19" spans="1:21" ht="15.5">
      <c r="A19" t="str">
        <f>LEFT(Table_5c!$A$1,8)</f>
        <v>Table 5c</v>
      </c>
      <c r="B19" t="str">
        <f>Table_5c!A7</f>
        <v>April 2023 to March 2024</v>
      </c>
      <c r="C19" s="79" t="str">
        <f t="shared" ref="C19" si="3">IF(ISNUMBER(SEARCH("2015",B19)),"2015-16",IF(ISNUMBER(SEARCH("2016",B19)),"2016-17",IF(ISNUMBER(SEARCH("2017",B19)),"2017-18",IF(ISNUMBER(SEARCH("2018",B19)),"2018-19",IF(ISNUMBER(SEARCH("2019",B19)),"2019-20",IF(ISNUMBER(SEARCH("2020",B19)),"2020-21",IF(ISNUMBER(SEARCH("2021",B19)),"2021-22",IF(ISNUMBER(SEARCH("2022",B19)),"2022-23",IF(ISNUMBER(SEARCH("2023",B19)),"2023-24",IF(ISNUMBER(SEARCH("2024",B19)),"2024-25",IF(ISNUMBER(SEARCH("2025",B19)),"2025-26","")))))))))))</f>
        <v>2023-24</v>
      </c>
      <c r="D19" s="86" t="s">
        <v>109</v>
      </c>
      <c r="E19" s="84">
        <f>VLOOKUP($B19,Table_5c[#All],COLUMN(E$1)-3,FALSE)</f>
        <v>1.6550925925925926E-3</v>
      </c>
      <c r="F19" s="84" t="str">
        <f>VLOOKUP($B19,Table_5c[#All],COLUMN(F$1)-3,FALSE)</f>
        <v>[x]</v>
      </c>
      <c r="G19" s="84" t="str">
        <f>VLOOKUP($B19,Table_5c[#All],COLUMN(G$1)-3,FALSE)</f>
        <v>[x]</v>
      </c>
      <c r="H19" s="84" t="str">
        <f>VLOOKUP($B19,Table_5c[#All],COLUMN(H$1)-3,FALSE)</f>
        <v>[x]</v>
      </c>
      <c r="I19" s="84" t="str">
        <f>VLOOKUP($B19,Table_5c[#All],COLUMN(I$1)-3,FALSE)</f>
        <v>[x]</v>
      </c>
      <c r="J19" s="84" t="str">
        <f>VLOOKUP($B19,Table_5c[#All],COLUMN(J$1)-3,FALSE)</f>
        <v>[x]</v>
      </c>
      <c r="K19" s="84" t="str">
        <f>VLOOKUP($B19,Table_5c[#All],COLUMN(K$1)-3,FALSE)</f>
        <v>[x]</v>
      </c>
      <c r="L19" s="87"/>
      <c r="N19" s="21"/>
      <c r="O19" s="21"/>
      <c r="P19" s="21"/>
      <c r="Q19" s="21"/>
      <c r="R19" s="21"/>
      <c r="S19" s="21"/>
      <c r="T19" s="21"/>
      <c r="U19" s="21"/>
    </row>
    <row r="20" spans="1:21">
      <c r="A20" t="str">
        <f>LEFT(Table_5d!$A$1,8)</f>
        <v>Table 5d</v>
      </c>
      <c r="B20" t="str">
        <f>Table_5d!A4</f>
        <v>April 2020 to March 2021</v>
      </c>
      <c r="C20" s="79" t="str">
        <f t="shared" si="0"/>
        <v>2020-21</v>
      </c>
      <c r="D20" s="86" t="s">
        <v>110</v>
      </c>
      <c r="E20" s="79">
        <f>VLOOKUP($B20,Table_5d[#All],COLUMN(E$1)-3,FALSE)</f>
        <v>98.5</v>
      </c>
      <c r="F20" s="79">
        <f>VLOOKUP($B20,Table_5d[#All],COLUMN(F$1)-3,FALSE)</f>
        <v>99.1</v>
      </c>
      <c r="G20" s="79">
        <f>VLOOKUP($B20,Table_5d[#All],COLUMN(G$1)-3,FALSE)</f>
        <v>98.9</v>
      </c>
      <c r="H20" s="79">
        <f>VLOOKUP($B20,Table_5d[#All],COLUMN(H$1)-3,FALSE)</f>
        <v>98.1</v>
      </c>
      <c r="I20" s="79">
        <f>VLOOKUP($B20,Table_5d[#All],COLUMN(I$1)-3,FALSE)</f>
        <v>97.899999999999991</v>
      </c>
      <c r="J20" s="79">
        <f>VLOOKUP($B20,Table_5d[#All],COLUMN(J$1)-3,FALSE)</f>
        <v>98.8</v>
      </c>
      <c r="K20" s="79">
        <f>VLOOKUP($B20,Table_5d[#All],COLUMN(K$1)-3,FALSE)</f>
        <v>98.9</v>
      </c>
      <c r="L20" s="87"/>
    </row>
    <row r="21" spans="1:21">
      <c r="A21" t="str">
        <f>LEFT(Table_5d!$A$1,8)</f>
        <v>Table 5d</v>
      </c>
      <c r="B21" t="str">
        <f>Table_5d!A5</f>
        <v>April 2021 to March 2022 [p]</v>
      </c>
      <c r="C21" s="79" t="str">
        <f t="shared" si="0"/>
        <v>2021-22</v>
      </c>
      <c r="D21" s="86" t="s">
        <v>110</v>
      </c>
      <c r="E21" s="79">
        <f>VLOOKUP($B21,Table_5d[#All],COLUMN(E$1)-3,FALSE)</f>
        <v>98.4</v>
      </c>
      <c r="F21" s="79">
        <f>VLOOKUP($B21,Table_5d[#All],COLUMN(F$1)-3,FALSE)</f>
        <v>98</v>
      </c>
      <c r="G21" s="79">
        <f>VLOOKUP($B21,Table_5d[#All],COLUMN(G$1)-3,FALSE)</f>
        <v>98.4</v>
      </c>
      <c r="H21" s="79">
        <f>VLOOKUP($B21,Table_5d[#All],COLUMN(H$1)-3,FALSE)</f>
        <v>97.5</v>
      </c>
      <c r="I21" s="79">
        <f>VLOOKUP($B21,Table_5d[#All],COLUMN(I$1)-3,FALSE)</f>
        <v>98.1</v>
      </c>
      <c r="J21" s="79">
        <f>VLOOKUP($B21,Table_5d[#All],COLUMN(J$1)-3,FALSE)</f>
        <v>98.1</v>
      </c>
      <c r="K21" s="79">
        <f>VLOOKUP($B21,Table_5d[#All],COLUMN(K$1)-3,FALSE)</f>
        <v>98.9</v>
      </c>
      <c r="L21" s="87"/>
    </row>
    <row r="22" spans="1:21">
      <c r="A22" t="str">
        <f>LEFT(Table_5d!$A$1,8)</f>
        <v>Table 5d</v>
      </c>
      <c r="B22" t="str">
        <f>Table_5d!A6</f>
        <v>April 2022 to March 2023</v>
      </c>
      <c r="C22" s="79" t="str">
        <f t="shared" si="0"/>
        <v>2022-23</v>
      </c>
      <c r="D22" s="86" t="s">
        <v>110</v>
      </c>
      <c r="E22" s="79">
        <f>VLOOKUP($B22,Table_5d[#All],COLUMN(E$1)-3,FALSE)</f>
        <v>98.6</v>
      </c>
      <c r="F22" s="79">
        <f>VLOOKUP($B22,Table_5d[#All],COLUMN(F$1)-3,FALSE)</f>
        <v>99</v>
      </c>
      <c r="G22" s="79">
        <f>VLOOKUP($B22,Table_5d[#All],COLUMN(G$1)-3,FALSE)</f>
        <v>98.7</v>
      </c>
      <c r="H22" s="79">
        <f>VLOOKUP($B22,Table_5d[#All],COLUMN(H$1)-3,FALSE)</f>
        <v>98.2</v>
      </c>
      <c r="I22" s="79">
        <f>VLOOKUP($B22,Table_5d[#All],COLUMN(I$1)-3,FALSE)</f>
        <v>98.1</v>
      </c>
      <c r="J22" s="79">
        <f>VLOOKUP($B22,Table_5d[#All],COLUMN(J$1)-3,FALSE)</f>
        <v>98.7</v>
      </c>
      <c r="K22" s="79">
        <f>VLOOKUP($B22,Table_5d[#All],COLUMN(K$1)-3,FALSE)</f>
        <v>98.9</v>
      </c>
      <c r="L22" s="87"/>
    </row>
    <row r="23" spans="1:21">
      <c r="A23" t="str">
        <f>LEFT(Table_5d!$A$1,8)</f>
        <v>Table 5d</v>
      </c>
      <c r="B23" t="str">
        <f>Table_5d!A7</f>
        <v>April 2023 to March 2024</v>
      </c>
      <c r="C23" s="79" t="str">
        <f t="shared" ref="C23" si="4">IF(ISNUMBER(SEARCH("2015",B23)),"2015-16",IF(ISNUMBER(SEARCH("2016",B23)),"2016-17",IF(ISNUMBER(SEARCH("2017",B23)),"2017-18",IF(ISNUMBER(SEARCH("2018",B23)),"2018-19",IF(ISNUMBER(SEARCH("2019",B23)),"2019-20",IF(ISNUMBER(SEARCH("2020",B23)),"2020-21",IF(ISNUMBER(SEARCH("2021",B23)),"2021-22",IF(ISNUMBER(SEARCH("2022",B23)),"2022-23",IF(ISNUMBER(SEARCH("2023",B23)),"2023-24",IF(ISNUMBER(SEARCH("2024",B23)),"2024-25",IF(ISNUMBER(SEARCH("2025",B23)),"2025-26","")))))))))))</f>
        <v>2023-24</v>
      </c>
      <c r="D23" s="86" t="s">
        <v>110</v>
      </c>
      <c r="E23" s="79">
        <f>VLOOKUP($B23,Table_5d[#All],COLUMN(E$1)-3,FALSE)</f>
        <v>91.9</v>
      </c>
      <c r="F23" s="79" t="str">
        <f>VLOOKUP($B23,Table_5d[#All],COLUMN(F$1)-3,FALSE)</f>
        <v>[x]</v>
      </c>
      <c r="G23" s="79" t="str">
        <f>VLOOKUP($B23,Table_5d[#All],COLUMN(G$1)-3,FALSE)</f>
        <v>[x]</v>
      </c>
      <c r="H23" s="79" t="str">
        <f>VLOOKUP($B23,Table_5d[#All],COLUMN(H$1)-3,FALSE)</f>
        <v>[x]</v>
      </c>
      <c r="I23" s="79" t="str">
        <f>VLOOKUP($B23,Table_5d[#All],COLUMN(I$1)-3,FALSE)</f>
        <v>[x]</v>
      </c>
      <c r="J23" s="79" t="str">
        <f>VLOOKUP($B23,Table_5d[#All],COLUMN(J$1)-3,FALSE)</f>
        <v>[x]</v>
      </c>
      <c r="K23" s="79" t="str">
        <f>VLOOKUP($B23,Table_5d[#All],COLUMN(K$1)-3,FALSE)</f>
        <v>[x]</v>
      </c>
      <c r="L23" s="87"/>
    </row>
    <row r="24" spans="1:21">
      <c r="A24" t="str">
        <f>LEFT(Table_5e!$A$1,8)</f>
        <v>Table 5e</v>
      </c>
      <c r="B24" t="str">
        <f>Table_5e!A4</f>
        <v>April 2020 to March 2021 [Note 1]</v>
      </c>
      <c r="C24" s="79" t="str">
        <f t="shared" si="0"/>
        <v>2020-21</v>
      </c>
      <c r="D24" s="86" t="s">
        <v>111</v>
      </c>
      <c r="E24" s="79">
        <f>VLOOKUP($B24,Table_5e[#All],COLUMN(E$1)-3,FALSE)</f>
        <v>53</v>
      </c>
      <c r="F24" s="79"/>
      <c r="G24" s="79"/>
      <c r="H24" s="79"/>
      <c r="I24" s="79"/>
      <c r="J24" s="79"/>
      <c r="K24" s="79"/>
      <c r="L24" s="87"/>
    </row>
    <row r="25" spans="1:21">
      <c r="A25" t="str">
        <f>LEFT(Table_5e!$A$1,8)</f>
        <v>Table 5e</v>
      </c>
      <c r="B25" t="str">
        <f>Table_5e!A5</f>
        <v>April 2021 to March 2022</v>
      </c>
      <c r="C25" s="79" t="str">
        <f t="shared" si="0"/>
        <v>2021-22</v>
      </c>
      <c r="D25" s="86" t="s">
        <v>111</v>
      </c>
      <c r="E25" s="79">
        <f>VLOOKUP($B25,Table_5e[#All],COLUMN(E$1)-3,FALSE)</f>
        <v>97.2</v>
      </c>
      <c r="F25" s="79">
        <f>VLOOKUP($B25,Table_5e[],COLUMN(F$1)-3,FALSE)</f>
        <v>92</v>
      </c>
      <c r="G25" s="79">
        <f>VLOOKUP($B25,Table_5e[],COLUMN(G$1)-3,FALSE)</f>
        <v>100</v>
      </c>
      <c r="H25" s="79">
        <f>VLOOKUP($B25,Table_5e[],COLUMN(H$1)-3,FALSE)</f>
        <v>100</v>
      </c>
      <c r="I25" s="79">
        <f>VLOOKUP($B25,Table_5e[],COLUMN(I$1)-3,FALSE)</f>
        <v>100</v>
      </c>
      <c r="J25" s="79">
        <f>VLOOKUP($B25,Table_5e[],COLUMN(J$1)-3,FALSE)</f>
        <v>67</v>
      </c>
      <c r="K25" s="79">
        <f>VLOOKUP($B25,Table_5e[],COLUMN(K$1)-3,FALSE)</f>
        <v>100</v>
      </c>
      <c r="L25" s="87"/>
    </row>
    <row r="26" spans="1:21">
      <c r="A26" t="str">
        <f>LEFT(Table_5e!$A$1,8)</f>
        <v>Table 5e</v>
      </c>
      <c r="B26" t="str">
        <f>Table_5e!A6</f>
        <v>April 2022 to March 2023</v>
      </c>
      <c r="C26" s="79" t="str">
        <f t="shared" ref="C26:C27" si="5">IF(ISNUMBER(SEARCH("2015",B26)),"2015-16",IF(ISNUMBER(SEARCH("2016",B26)),"2016-17",IF(ISNUMBER(SEARCH("2017",B26)),"2017-18",IF(ISNUMBER(SEARCH("2018",B26)),"2018-19",IF(ISNUMBER(SEARCH("2019",B26)),"2019-20",IF(ISNUMBER(SEARCH("2020",B26)),"2020-21",IF(ISNUMBER(SEARCH("2021",B26)),"2021-22",IF(ISNUMBER(SEARCH("2022",B26)),"2022-23",IF(ISNUMBER(SEARCH("2023",B26)),"2023-24",IF(ISNUMBER(SEARCH("2024",B26)),"2024-25",IF(ISNUMBER(SEARCH("2025",B26)),"2025-26","")))))))))))</f>
        <v>2022-23</v>
      </c>
      <c r="D26" s="86" t="s">
        <v>111</v>
      </c>
      <c r="E26" s="79">
        <f>VLOOKUP($B26,Table_5e[#All],COLUMN(E$1)-3,FALSE)</f>
        <v>99</v>
      </c>
      <c r="F26" s="79">
        <f>VLOOKUP($B26,Table_5e[],COLUMN(F$1)-3,FALSE)</f>
        <v>100</v>
      </c>
      <c r="G26" s="79">
        <f>VLOOKUP($B26,Table_5e[],COLUMN(G$1)-3,FALSE)</f>
        <v>100</v>
      </c>
      <c r="H26" s="79">
        <f>VLOOKUP($B26,Table_5e[],COLUMN(H$1)-3,FALSE)</f>
        <v>100</v>
      </c>
      <c r="I26" s="79">
        <f>VLOOKUP($B26,Table_5e[],COLUMN(I$1)-3,FALSE)</f>
        <v>100</v>
      </c>
      <c r="J26" s="79">
        <f>VLOOKUP($B26,Table_5e[],COLUMN(J$1)-3,FALSE)</f>
        <v>100</v>
      </c>
      <c r="K26" s="79">
        <f>VLOOKUP($B26,Table_5e[],COLUMN(K$1)-3,FALSE)</f>
        <v>91</v>
      </c>
      <c r="L26" s="87"/>
    </row>
    <row r="27" spans="1:21">
      <c r="A27" t="str">
        <f>LEFT(Table_5e!$A$1,8)</f>
        <v>Table 5e</v>
      </c>
      <c r="B27" t="str">
        <f>Table_5e!A7</f>
        <v>April 2023 to March 2024</v>
      </c>
      <c r="C27" s="79" t="str">
        <f t="shared" si="5"/>
        <v>2023-24</v>
      </c>
      <c r="D27" s="86" t="s">
        <v>111</v>
      </c>
      <c r="E27" s="79">
        <f>VLOOKUP($B27,Table_5e[#All],COLUMN(E$1)-3,FALSE)</f>
        <v>100</v>
      </c>
      <c r="F27" s="79" t="str">
        <f>VLOOKUP($B27,Table_5e[],COLUMN(F$1)-3,FALSE)</f>
        <v>[x]</v>
      </c>
      <c r="G27" s="79" t="str">
        <f>VLOOKUP($B27,Table_5e[],COLUMN(G$1)-3,FALSE)</f>
        <v>[x]</v>
      </c>
      <c r="H27" s="79" t="str">
        <f>VLOOKUP($B27,Table_5e[],COLUMN(H$1)-3,FALSE)</f>
        <v>[x]</v>
      </c>
      <c r="I27" s="79" t="str">
        <f>VLOOKUP($B27,Table_5e[],COLUMN(I$1)-3,FALSE)</f>
        <v>[x]</v>
      </c>
      <c r="J27" s="79" t="str">
        <f>VLOOKUP($B27,Table_5e[],COLUMN(J$1)-3,FALSE)</f>
        <v>[x]</v>
      </c>
      <c r="K27" s="79" t="str">
        <f>VLOOKUP($B27,Table_5e[],COLUMN(K$1)-3,FALSE)</f>
        <v>[x]</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B7C2E-8F0F-4B9B-8412-0F8852513FDD}">
  <sheetPr codeName="Sheet10">
    <tabColor rgb="FFFFC000"/>
  </sheetPr>
  <dimension ref="A4:Y79"/>
  <sheetViews>
    <sheetView zoomScale="85" zoomScaleNormal="85" workbookViewId="0">
      <selection activeCell="A8" sqref="A8"/>
    </sheetView>
  </sheetViews>
  <sheetFormatPr defaultRowHeight="14.5"/>
  <cols>
    <col min="1" max="1" width="7.453125" bestFit="1" customWidth="1"/>
    <col min="2" max="2" width="24" bestFit="1" customWidth="1"/>
    <col min="3" max="3" width="11" bestFit="1" customWidth="1"/>
    <col min="4" max="4" width="9" bestFit="1" customWidth="1"/>
    <col min="5" max="5" width="4.90625" bestFit="1" customWidth="1"/>
    <col min="6" max="6" width="10.1796875" bestFit="1" customWidth="1"/>
    <col min="7" max="7" width="11" bestFit="1" customWidth="1"/>
    <col min="8" max="8" width="17" bestFit="1" customWidth="1"/>
    <col min="10" max="10" width="7.453125" bestFit="1" customWidth="1"/>
    <col min="11" max="11" width="9" bestFit="1" customWidth="1"/>
    <col min="13" max="13" width="7.453125" bestFit="1" customWidth="1"/>
    <col min="14" max="14" width="28.36328125" bestFit="1" customWidth="1"/>
    <col min="15" max="15" width="17" bestFit="1" customWidth="1"/>
    <col min="16" max="16" width="9" bestFit="1" customWidth="1"/>
    <col min="17" max="17" width="7.90625" bestFit="1" customWidth="1"/>
    <col min="18" max="18" width="10.1796875" bestFit="1" customWidth="1"/>
    <col min="19" max="19" width="11" bestFit="1" customWidth="1"/>
    <col min="20" max="20" width="17" bestFit="1" customWidth="1"/>
    <col min="21" max="21" width="19.453125" bestFit="1" customWidth="1"/>
  </cols>
  <sheetData>
    <row r="4" spans="1:20">
      <c r="A4" s="65" t="s">
        <v>112</v>
      </c>
    </row>
    <row r="5" spans="1:20">
      <c r="A5" s="76" t="s">
        <v>98</v>
      </c>
      <c r="B5" t="s">
        <v>113</v>
      </c>
      <c r="D5" s="76" t="s">
        <v>98</v>
      </c>
      <c r="E5" t="s">
        <v>114</v>
      </c>
      <c r="G5" s="76" t="s">
        <v>98</v>
      </c>
      <c r="H5" t="s">
        <v>115</v>
      </c>
      <c r="J5" s="76" t="s">
        <v>98</v>
      </c>
      <c r="K5" t="s">
        <v>116</v>
      </c>
      <c r="M5" s="76" t="s">
        <v>98</v>
      </c>
      <c r="N5" t="s">
        <v>117</v>
      </c>
      <c r="P5" s="76" t="s">
        <v>98</v>
      </c>
      <c r="Q5" t="s">
        <v>118</v>
      </c>
      <c r="S5" s="76" t="s">
        <v>98</v>
      </c>
      <c r="T5" t="s">
        <v>119</v>
      </c>
    </row>
    <row r="6" spans="1:20">
      <c r="A6" s="66" t="s">
        <v>148</v>
      </c>
      <c r="B6" s="78">
        <v>89.3</v>
      </c>
      <c r="D6" s="66" t="s">
        <v>148</v>
      </c>
      <c r="E6" s="78">
        <v>86.09</v>
      </c>
      <c r="G6" s="66" t="s">
        <v>148</v>
      </c>
      <c r="H6" s="78">
        <v>83.54</v>
      </c>
      <c r="J6" s="66" t="s">
        <v>148</v>
      </c>
      <c r="K6" s="78">
        <v>89.05</v>
      </c>
      <c r="M6" s="66" t="s">
        <v>148</v>
      </c>
      <c r="N6" s="78">
        <v>91.75</v>
      </c>
      <c r="P6" s="66" t="s">
        <v>148</v>
      </c>
      <c r="Q6" s="78">
        <v>89.070000000000007</v>
      </c>
      <c r="S6" s="66" t="s">
        <v>148</v>
      </c>
      <c r="T6" s="78">
        <v>91.100000000000009</v>
      </c>
    </row>
    <row r="7" spans="1:20">
      <c r="A7" s="66" t="s">
        <v>149</v>
      </c>
      <c r="B7" s="78">
        <v>89.1</v>
      </c>
      <c r="D7" s="66" t="s">
        <v>149</v>
      </c>
      <c r="E7" s="78">
        <v>87.99</v>
      </c>
      <c r="G7" s="66" t="s">
        <v>149</v>
      </c>
      <c r="H7" s="78">
        <v>82.99</v>
      </c>
      <c r="J7" s="66" t="s">
        <v>149</v>
      </c>
      <c r="K7" s="78">
        <v>86.839999999999989</v>
      </c>
      <c r="M7" s="66" t="s">
        <v>149</v>
      </c>
      <c r="N7" s="78">
        <v>91.05</v>
      </c>
      <c r="P7" s="66" t="s">
        <v>149</v>
      </c>
      <c r="Q7" s="78">
        <v>88.460000000000008</v>
      </c>
      <c r="S7" s="66" t="s">
        <v>149</v>
      </c>
      <c r="T7" s="78">
        <v>90.83</v>
      </c>
    </row>
    <row r="8" spans="1:20">
      <c r="A8" s="66" t="s">
        <v>150</v>
      </c>
      <c r="B8" s="78">
        <v>88.7</v>
      </c>
      <c r="D8" s="66" t="s">
        <v>150</v>
      </c>
      <c r="E8" s="78">
        <v>88.3</v>
      </c>
      <c r="G8" s="66" t="s">
        <v>150</v>
      </c>
      <c r="H8" s="78">
        <v>77.900000000000006</v>
      </c>
      <c r="J8" s="66" t="s">
        <v>150</v>
      </c>
      <c r="K8" s="78">
        <v>88.6</v>
      </c>
      <c r="M8" s="66" t="s">
        <v>150</v>
      </c>
      <c r="N8" s="78">
        <v>90.3</v>
      </c>
      <c r="P8" s="66" t="s">
        <v>150</v>
      </c>
      <c r="Q8" s="78">
        <v>90.8</v>
      </c>
      <c r="S8" s="66" t="s">
        <v>150</v>
      </c>
      <c r="T8" s="78">
        <v>88.8</v>
      </c>
    </row>
    <row r="9" spans="1:20">
      <c r="A9" s="66" t="s">
        <v>151</v>
      </c>
      <c r="B9" s="78">
        <v>88.4</v>
      </c>
      <c r="D9" s="66" t="s">
        <v>151</v>
      </c>
      <c r="E9" s="78">
        <v>91.12</v>
      </c>
      <c r="G9" s="66" t="s">
        <v>151</v>
      </c>
      <c r="H9" s="78">
        <v>84</v>
      </c>
      <c r="J9" s="66" t="s">
        <v>151</v>
      </c>
      <c r="K9" s="78">
        <v>88.26</v>
      </c>
      <c r="M9" s="66" t="s">
        <v>151</v>
      </c>
      <c r="N9" s="78">
        <v>90.29</v>
      </c>
      <c r="P9" s="66" t="s">
        <v>151</v>
      </c>
      <c r="Q9" s="78">
        <v>86.429999999999993</v>
      </c>
      <c r="S9" s="66" t="s">
        <v>151</v>
      </c>
      <c r="T9" s="78">
        <v>88.83</v>
      </c>
    </row>
    <row r="10" spans="1:20">
      <c r="A10" s="66" t="s">
        <v>152</v>
      </c>
      <c r="B10" s="78">
        <v>89.2</v>
      </c>
      <c r="D10" s="66" t="s">
        <v>152</v>
      </c>
      <c r="E10" s="78">
        <v>92.63</v>
      </c>
      <c r="G10" s="66" t="s">
        <v>152</v>
      </c>
      <c r="H10" s="78">
        <v>85.22</v>
      </c>
      <c r="J10" s="66" t="s">
        <v>152</v>
      </c>
      <c r="K10" s="78">
        <v>89.89</v>
      </c>
      <c r="M10" s="66" t="s">
        <v>152</v>
      </c>
      <c r="N10" s="78">
        <v>88.160000000000011</v>
      </c>
      <c r="P10" s="66" t="s">
        <v>152</v>
      </c>
      <c r="Q10" s="78">
        <v>88.69</v>
      </c>
      <c r="S10" s="66" t="s">
        <v>152</v>
      </c>
      <c r="T10" s="78">
        <v>88.17</v>
      </c>
    </row>
    <row r="11" spans="1:20">
      <c r="A11" s="66" t="s">
        <v>120</v>
      </c>
      <c r="B11" s="78">
        <v>73</v>
      </c>
      <c r="D11" s="66" t="s">
        <v>120</v>
      </c>
      <c r="E11" s="78">
        <v>72.900000000000006</v>
      </c>
      <c r="G11" s="66" t="s">
        <v>120</v>
      </c>
      <c r="H11" s="78">
        <v>69.599999999999994</v>
      </c>
      <c r="J11" s="66" t="s">
        <v>120</v>
      </c>
      <c r="K11" s="78">
        <v>72.7</v>
      </c>
      <c r="M11" s="66" t="s">
        <v>120</v>
      </c>
      <c r="N11" s="78">
        <v>72.2</v>
      </c>
      <c r="P11" s="66" t="s">
        <v>120</v>
      </c>
      <c r="Q11" s="78">
        <v>71.5</v>
      </c>
      <c r="S11" s="66" t="s">
        <v>120</v>
      </c>
      <c r="T11" s="78">
        <v>80.2</v>
      </c>
    </row>
    <row r="12" spans="1:20">
      <c r="A12" s="66" t="s">
        <v>121</v>
      </c>
      <c r="B12" s="78">
        <v>71</v>
      </c>
      <c r="D12" s="66" t="s">
        <v>121</v>
      </c>
      <c r="E12" s="78">
        <v>0</v>
      </c>
      <c r="G12" s="66" t="s">
        <v>121</v>
      </c>
      <c r="H12" s="78">
        <v>0</v>
      </c>
      <c r="J12" s="66" t="s">
        <v>121</v>
      </c>
      <c r="K12" s="78">
        <v>0</v>
      </c>
      <c r="M12" s="66" t="s">
        <v>121</v>
      </c>
      <c r="N12" s="78">
        <v>0</v>
      </c>
      <c r="P12" s="66" t="s">
        <v>121</v>
      </c>
      <c r="Q12" s="78">
        <v>0</v>
      </c>
      <c r="S12" s="66" t="s">
        <v>121</v>
      </c>
      <c r="T12" s="78">
        <v>0</v>
      </c>
    </row>
    <row r="13" spans="1:20" hidden="1"/>
    <row r="14" spans="1:20" hidden="1"/>
    <row r="15" spans="1:20" hidden="1"/>
    <row r="16" spans="1:20" hidden="1"/>
    <row r="17" spans="1:1" hidden="1"/>
    <row r="18" spans="1:1" hidden="1"/>
    <row r="19" spans="1:1" hidden="1"/>
    <row r="23" spans="1:1">
      <c r="A23" s="67" t="str">
        <f>IF(B40="Road user satisfaction","The percentage of drivers who are satisfied with their journey on the strategic road network as measured by the
Strategic Roads User Survey (SRUS) conducted by Transport Focus (KPI).",IF(B40="Roadworks information timeliness and accuracy","The percentage of overnight road closures that are accurately notified by Highways England seven days in advance (KPI).",IF(B40="Timeliness of information provided to road users through electronic signage","The average median time to set signs and signals on (all) motorways after National Highways has received
notification of an incident, that requires signs and signals to be manually set (PI).",IF(B40="Ride Quality","The percentage of pavement asset delivering ride quality based on engineering factors and driver comfort (PI).",IF(B40="Working with local highways authorities to review diversion routes for unplanned events","The percentage of local highway authorities which National Highways engaged with to review diversion routes for unplanned events (PI).")))))</f>
        <v>The percentage of drivers who are satisfied with their journey on the strategic road network as measured by the
Strategic Roads User Survey (SRUS) conducted by Transport Focus (KPI).</v>
      </c>
    </row>
    <row r="24" spans="1:1">
      <c r="A24" s="67" t="str">
        <f>IF(B40="Road user satisfaction","National-level target for road period 2: Currently suspended.",IF(B40="Roadworks information timeliness and accuracy","National-level target for road period 2: 90% by the end of 2025.",""))</f>
        <v>National-level target for road period 2: Currently suspended.</v>
      </c>
    </row>
    <row r="25" spans="1:1">
      <c r="A25" s="67" t="str">
        <f>IF(B40="Road user satisfaction","Measure: Percentage. ***Target suspended. Replaced by SRUS in road period 2. See notes 2 and 6.",IF(B40="Roadworks information timeliness and accuracy","Measure: Percentage.",IF(B40="Timeliness of information provided to road users through electronic signage","Measure: Minutes / Seconds",IF(B40="Ride Quality","Measure: Percentage.",IF(B40="Working with local highways authorities to review diversion routes for unplanned events","Measure: Percentage.")))))</f>
        <v>Measure: Percentage. ***Target suspended. Replaced by SRUS in road period 2. See notes 2 and 6.</v>
      </c>
    </row>
    <row r="26" spans="1:1">
      <c r="A26" s="67" t="str">
        <f>IF(B40="Timeliness of information provided to road users through electronic signage","minutes","percentage points")</f>
        <v>percentage points</v>
      </c>
    </row>
    <row r="27" spans="1:1">
      <c r="A27" t="str">
        <f>IF(B79=0,"",_xlfn.CONCAT(""&amp;B79&amp;" out of 6 regions scored 100%"))</f>
        <v/>
      </c>
    </row>
    <row r="40" spans="1:20">
      <c r="A40" s="76" t="s">
        <v>99</v>
      </c>
      <c r="B40" t="s">
        <v>107</v>
      </c>
      <c r="M40" s="76" t="s">
        <v>99</v>
      </c>
      <c r="N40" t="s">
        <v>107</v>
      </c>
    </row>
    <row r="42" spans="1:20">
      <c r="A42" s="76" t="s">
        <v>98</v>
      </c>
      <c r="B42" t="s">
        <v>114</v>
      </c>
      <c r="C42" t="s">
        <v>115</v>
      </c>
      <c r="D42" t="s">
        <v>116</v>
      </c>
      <c r="E42" t="s">
        <v>117</v>
      </c>
      <c r="F42" t="s">
        <v>118</v>
      </c>
      <c r="G42" t="s">
        <v>119</v>
      </c>
      <c r="H42" t="s">
        <v>113</v>
      </c>
      <c r="J42" s="21"/>
      <c r="M42" s="76" t="s">
        <v>98</v>
      </c>
      <c r="N42" t="s">
        <v>122</v>
      </c>
      <c r="O42" t="s">
        <v>123</v>
      </c>
      <c r="P42" t="s">
        <v>116</v>
      </c>
      <c r="Q42" t="s">
        <v>117</v>
      </c>
      <c r="R42" t="s">
        <v>118</v>
      </c>
      <c r="S42" t="s">
        <v>119</v>
      </c>
      <c r="T42" t="s">
        <v>113</v>
      </c>
    </row>
    <row r="43" spans="1:20">
      <c r="A43" s="66" t="s">
        <v>148</v>
      </c>
      <c r="B43" s="78">
        <v>86.09</v>
      </c>
      <c r="C43" s="78">
        <v>83.54</v>
      </c>
      <c r="D43" s="78">
        <v>89.05</v>
      </c>
      <c r="E43" s="78">
        <v>91.75</v>
      </c>
      <c r="F43" s="78">
        <v>89.070000000000007</v>
      </c>
      <c r="G43" s="78">
        <v>91.100000000000009</v>
      </c>
      <c r="H43" s="78">
        <v>89.3</v>
      </c>
      <c r="M43" s="66" t="s">
        <v>148</v>
      </c>
      <c r="N43" s="21">
        <v>86.09</v>
      </c>
      <c r="O43" s="21">
        <v>83.54</v>
      </c>
      <c r="P43" s="21">
        <v>89.05</v>
      </c>
      <c r="Q43" s="21">
        <v>91.75</v>
      </c>
      <c r="R43" s="21">
        <v>89.070000000000007</v>
      </c>
      <c r="S43" s="21">
        <v>91.100000000000009</v>
      </c>
      <c r="T43" s="21">
        <v>89.3</v>
      </c>
    </row>
    <row r="44" spans="1:20">
      <c r="A44" s="66" t="s">
        <v>149</v>
      </c>
      <c r="B44" s="78">
        <v>87.99</v>
      </c>
      <c r="C44" s="78">
        <v>82.99</v>
      </c>
      <c r="D44" s="78">
        <v>86.839999999999989</v>
      </c>
      <c r="E44" s="78">
        <v>91.05</v>
      </c>
      <c r="F44" s="78">
        <v>88.460000000000008</v>
      </c>
      <c r="G44" s="78">
        <v>90.83</v>
      </c>
      <c r="H44" s="78">
        <v>89.1</v>
      </c>
      <c r="M44" s="66" t="s">
        <v>149</v>
      </c>
      <c r="N44" s="21">
        <v>87.99</v>
      </c>
      <c r="O44" s="21">
        <v>82.99</v>
      </c>
      <c r="P44" s="21">
        <v>86.839999999999989</v>
      </c>
      <c r="Q44" s="21">
        <v>91.05</v>
      </c>
      <c r="R44" s="21">
        <v>88.460000000000008</v>
      </c>
      <c r="S44" s="21">
        <v>90.83</v>
      </c>
      <c r="T44" s="21">
        <v>89.1</v>
      </c>
    </row>
    <row r="45" spans="1:20">
      <c r="A45" s="66" t="s">
        <v>150</v>
      </c>
      <c r="B45" s="78">
        <v>88.3</v>
      </c>
      <c r="C45" s="78">
        <v>77.900000000000006</v>
      </c>
      <c r="D45" s="78">
        <v>88.6</v>
      </c>
      <c r="E45" s="78">
        <v>90.3</v>
      </c>
      <c r="F45" s="78">
        <v>90.8</v>
      </c>
      <c r="G45" s="78">
        <v>88.8</v>
      </c>
      <c r="H45" s="78">
        <v>88.7</v>
      </c>
      <c r="M45" s="66" t="s">
        <v>150</v>
      </c>
      <c r="N45" s="21">
        <v>88.3</v>
      </c>
      <c r="O45" s="21">
        <v>77.900000000000006</v>
      </c>
      <c r="P45" s="21">
        <v>88.6</v>
      </c>
      <c r="Q45" s="21">
        <v>90.3</v>
      </c>
      <c r="R45" s="21">
        <v>90.8</v>
      </c>
      <c r="S45" s="21">
        <v>88.8</v>
      </c>
      <c r="T45" s="21">
        <v>88.7</v>
      </c>
    </row>
    <row r="46" spans="1:20">
      <c r="A46" s="66" t="s">
        <v>151</v>
      </c>
      <c r="B46" s="78">
        <v>91.12</v>
      </c>
      <c r="C46" s="78">
        <v>84</v>
      </c>
      <c r="D46" s="78">
        <v>88.26</v>
      </c>
      <c r="E46" s="78">
        <v>90.29</v>
      </c>
      <c r="F46" s="78">
        <v>86.429999999999993</v>
      </c>
      <c r="G46" s="78">
        <v>88.83</v>
      </c>
      <c r="H46" s="78">
        <v>88.4</v>
      </c>
      <c r="M46" s="66" t="s">
        <v>151</v>
      </c>
      <c r="N46" s="21">
        <v>91.12</v>
      </c>
      <c r="O46" s="21">
        <v>84</v>
      </c>
      <c r="P46" s="21">
        <v>88.26</v>
      </c>
      <c r="Q46" s="21">
        <v>90.29</v>
      </c>
      <c r="R46" s="21">
        <v>86.429999999999993</v>
      </c>
      <c r="S46" s="21">
        <v>88.83</v>
      </c>
      <c r="T46" s="21">
        <v>88.4</v>
      </c>
    </row>
    <row r="47" spans="1:20">
      <c r="A47" s="66" t="s">
        <v>152</v>
      </c>
      <c r="B47" s="78">
        <v>92.63</v>
      </c>
      <c r="C47" s="78">
        <v>85.22</v>
      </c>
      <c r="D47" s="78">
        <v>89.89</v>
      </c>
      <c r="E47" s="78">
        <v>88.160000000000011</v>
      </c>
      <c r="F47" s="78">
        <v>88.69</v>
      </c>
      <c r="G47" s="78">
        <v>88.17</v>
      </c>
      <c r="H47" s="78">
        <v>89.2</v>
      </c>
      <c r="M47" s="66" t="s">
        <v>152</v>
      </c>
      <c r="N47" s="21">
        <v>92.63</v>
      </c>
      <c r="O47" s="21">
        <v>85.22</v>
      </c>
      <c r="P47" s="21">
        <v>89.89</v>
      </c>
      <c r="Q47" s="21">
        <v>88.160000000000011</v>
      </c>
      <c r="R47" s="21">
        <v>88.69</v>
      </c>
      <c r="S47" s="21">
        <v>88.17</v>
      </c>
      <c r="T47" s="21">
        <v>89.2</v>
      </c>
    </row>
    <row r="48" spans="1:20">
      <c r="A48" s="66" t="s">
        <v>120</v>
      </c>
      <c r="B48" s="78">
        <v>72.900000000000006</v>
      </c>
      <c r="C48" s="78">
        <v>69.599999999999994</v>
      </c>
      <c r="D48" s="78">
        <v>72.7</v>
      </c>
      <c r="E48" s="78">
        <v>72.2</v>
      </c>
      <c r="F48" s="78">
        <v>71.5</v>
      </c>
      <c r="G48" s="78">
        <v>80.2</v>
      </c>
      <c r="H48" s="78">
        <v>73</v>
      </c>
      <c r="M48" s="66" t="s">
        <v>120</v>
      </c>
      <c r="N48" s="21">
        <v>72.900000000000006</v>
      </c>
      <c r="O48" s="21">
        <v>69.599999999999994</v>
      </c>
      <c r="P48" s="21">
        <v>72.7</v>
      </c>
      <c r="Q48" s="21">
        <v>72.2</v>
      </c>
      <c r="R48" s="21">
        <v>71.5</v>
      </c>
      <c r="S48" s="21">
        <v>80.2</v>
      </c>
      <c r="T48" s="21">
        <v>73</v>
      </c>
    </row>
    <row r="49" spans="1:25">
      <c r="A49" s="66" t="s">
        <v>121</v>
      </c>
      <c r="B49" s="78">
        <v>0</v>
      </c>
      <c r="C49" s="78">
        <v>0</v>
      </c>
      <c r="D49" s="78">
        <v>0</v>
      </c>
      <c r="E49" s="78">
        <v>0</v>
      </c>
      <c r="F49" s="78">
        <v>0</v>
      </c>
      <c r="G49" s="78">
        <v>0</v>
      </c>
      <c r="H49" s="78">
        <v>71</v>
      </c>
      <c r="K49" s="68"/>
      <c r="M49" s="66" t="s">
        <v>121</v>
      </c>
      <c r="N49" s="21">
        <v>0</v>
      </c>
      <c r="O49" s="21">
        <v>0</v>
      </c>
      <c r="P49" s="21">
        <v>0</v>
      </c>
      <c r="Q49" s="21">
        <v>0</v>
      </c>
      <c r="R49" s="21">
        <v>0</v>
      </c>
      <c r="S49" s="21">
        <v>0</v>
      </c>
      <c r="T49" s="21">
        <v>71</v>
      </c>
    </row>
    <row r="58" spans="1:25" ht="15" thickBot="1">
      <c r="I58" t="s">
        <v>124</v>
      </c>
    </row>
    <row r="59" spans="1:25" ht="15" thickBot="1">
      <c r="A59" s="69" t="str">
        <f>INDEX(A43:A58,MATCH("*",A43:A58,-1))</f>
        <v>2023-24</v>
      </c>
      <c r="B59" s="70">
        <f>VLOOKUP(A59,$A$43:$H$58,2)</f>
        <v>0</v>
      </c>
      <c r="C59" s="70">
        <f>VLOOKUP(A59,$A$43:$H$58,3)</f>
        <v>0</v>
      </c>
      <c r="D59" s="70">
        <f>VLOOKUP(A59,$A$43:$H$58,4)</f>
        <v>0</v>
      </c>
      <c r="E59" s="70">
        <f>VLOOKUP(A59,$A$43:$H$58,5)</f>
        <v>0</v>
      </c>
      <c r="F59" s="70">
        <f>VLOOKUP(A59,$A$43:$H$58,6)</f>
        <v>0</v>
      </c>
      <c r="G59" s="70">
        <f>VLOOKUP(A59,$A$43:$H$58,7)</f>
        <v>0</v>
      </c>
      <c r="H59" s="71">
        <f>VLOOKUP(A59,$A$43:$H$58,8)</f>
        <v>71</v>
      </c>
      <c r="I59" s="72" t="s">
        <v>125</v>
      </c>
      <c r="M59" s="69" t="str">
        <f>INDEX(M43:M58,MATCH("*",M43:M58,-1))</f>
        <v>2023-24</v>
      </c>
      <c r="N59" s="109">
        <f>VLOOKUP($M$59,$M$43:$T$58,2)</f>
        <v>0</v>
      </c>
      <c r="O59" s="109">
        <f>VLOOKUP($M$59,$M$43:$T$58,3)</f>
        <v>0</v>
      </c>
      <c r="P59" s="109">
        <f>VLOOKUP($M$59,$M$43:$T$58,4)</f>
        <v>0</v>
      </c>
      <c r="Q59" s="109">
        <f>VLOOKUP($M$59,$M$43:$T$58,5)</f>
        <v>0</v>
      </c>
      <c r="R59" s="109">
        <f>VLOOKUP($M$59,$M$43:$T$58,6)</f>
        <v>0</v>
      </c>
      <c r="S59" s="109">
        <f>VLOOKUP($M$59,$M$43:$T$58,7)</f>
        <v>0</v>
      </c>
      <c r="T59" s="109">
        <f>VLOOKUP($M$59,$M$43:$T$58,8)</f>
        <v>71</v>
      </c>
      <c r="U59" s="72" t="s">
        <v>125</v>
      </c>
    </row>
    <row r="61" spans="1:25">
      <c r="E61" t="s">
        <v>126</v>
      </c>
      <c r="Q61" t="s">
        <v>126</v>
      </c>
    </row>
    <row r="62" spans="1:25">
      <c r="A62" t="s">
        <v>127</v>
      </c>
      <c r="B62" s="73" t="str">
        <f>IFERROR(IF(B40="Timeliness of information provided to road users through electronic signage", IF(MAX(N59:S59)=0,"",MAX(N59:S59)),IF(MAX(B59:G59)=0,"",MAX(B59:G59))),"")</f>
        <v/>
      </c>
      <c r="E62" s="74" t="e">
        <f>(B62-$H$59)</f>
        <v>#VALUE!</v>
      </c>
      <c r="F62" t="e">
        <f>IF(E62&gt;0,"performed better by ","score was lower by ")</f>
        <v>#VALUE!</v>
      </c>
      <c r="H62" t="s">
        <v>128</v>
      </c>
      <c r="I62" s="74" t="e">
        <f>ABS(E62)</f>
        <v>#VALUE!</v>
      </c>
      <c r="K62" t="e">
        <f>TEXT(I62,"0.0")&amp;" "&amp;A26</f>
        <v>#VALUE!</v>
      </c>
      <c r="M62" t="e">
        <f>TEXT(I62,"mm.ss")&amp;" "&amp;A26</f>
        <v>#VALUE!</v>
      </c>
      <c r="N62" t="s">
        <v>127</v>
      </c>
      <c r="O62" s="21">
        <f>MAX(N59:S59)</f>
        <v>0</v>
      </c>
      <c r="Q62" s="110">
        <f>(O62-$T$59)</f>
        <v>-71</v>
      </c>
      <c r="R62" t="str">
        <f>IF(Q62&gt;0,"performed better by ","score was lower by ")</f>
        <v xml:space="preserve">score was lower by </v>
      </c>
      <c r="T62" t="s">
        <v>128</v>
      </c>
      <c r="U62" s="110">
        <f>ABS(Q62)</f>
        <v>71</v>
      </c>
      <c r="W62" t="str">
        <f>TEXT(U62,"0.0")&amp;" "&amp;M26</f>
        <v xml:space="preserve">71.0 </v>
      </c>
      <c r="Y62" s="21" t="str">
        <f>TEXT(U62,"mm:ss")&amp;" "&amp;A26</f>
        <v>00:00 percentage points</v>
      </c>
    </row>
    <row r="63" spans="1:25">
      <c r="A63" t="s">
        <v>129</v>
      </c>
      <c r="B63" s="73" t="str">
        <f>IFERROR(IF(B62="","",MIN(B59:G59)),"")</f>
        <v/>
      </c>
      <c r="E63" s="74" t="e">
        <f>(B63-$H$59)</f>
        <v>#VALUE!</v>
      </c>
      <c r="F63" t="e">
        <f>IF(E63&gt;0,"performed better by","performed worse by ")</f>
        <v>#VALUE!</v>
      </c>
      <c r="H63" s="75" t="s">
        <v>128</v>
      </c>
      <c r="I63" s="74" t="e">
        <f>ABS(E63)</f>
        <v>#VALUE!</v>
      </c>
      <c r="K63" t="e">
        <f>TEXT(I63,"0.0")&amp;" "&amp;A26</f>
        <v>#VALUE!</v>
      </c>
      <c r="M63" t="e">
        <f>TEXT(I63,"mm.ss")&amp;" "&amp;A26</f>
        <v>#VALUE!</v>
      </c>
      <c r="N63" t="s">
        <v>129</v>
      </c>
      <c r="O63" s="21">
        <f>MIN(N59:S59)</f>
        <v>0</v>
      </c>
      <c r="Q63" s="110">
        <f>(O63-$T$59)</f>
        <v>-71</v>
      </c>
      <c r="R63" t="str">
        <f>IF(Q63&gt;0,"performed better by","performed worse by ")</f>
        <v xml:space="preserve">performed worse by </v>
      </c>
      <c r="T63" s="75" t="s">
        <v>128</v>
      </c>
      <c r="U63" s="110">
        <f>ABS(Q63)</f>
        <v>71</v>
      </c>
      <c r="W63" t="str">
        <f>TEXT(U63,"0.0")&amp;" "&amp;M26</f>
        <v xml:space="preserve">71.0 </v>
      </c>
      <c r="Y63" s="21" t="str">
        <f>TEXT(U63,"mm:ss")&amp;" "&amp;A26</f>
        <v>00:00 percentage points</v>
      </c>
    </row>
    <row r="64" spans="1:25">
      <c r="C64" s="73"/>
    </row>
    <row r="65" spans="1:21">
      <c r="A65" t="s">
        <v>127</v>
      </c>
      <c r="B65" s="113" t="str" cm="1">
        <f t="array" ref="B65">IFERROR(IF(B62,INDEX($B$42:$G$42,SUMPRODUCT(MAX(($B$42:$G$58=B62)*(COLUMN($B$42:$G$58))))-COLUMN($B$42)+1),""),"")</f>
        <v/>
      </c>
      <c r="E65" s="73" t="e">
        <f>B62-$H$59</f>
        <v>#VALUE!</v>
      </c>
      <c r="F65" t="e">
        <f>IF(E65&gt;0," was higher by "," was lower by ")</f>
        <v>#VALUE!</v>
      </c>
      <c r="H65" t="s">
        <v>128</v>
      </c>
      <c r="I65" s="74" t="e">
        <f>ABS(E65)</f>
        <v>#VALUE!</v>
      </c>
      <c r="N65" t="s">
        <v>127</v>
      </c>
      <c r="O65" t="str">
        <f>IF(SUM(N59:S59)&gt;0,IFERROR(INDEX(B42:G42,MATCH(O62,N59:S59,0)),""),"Regional data is not available.")</f>
        <v>Regional data is not available.</v>
      </c>
      <c r="Q65" s="21">
        <f>O62-$T$59</f>
        <v>-71</v>
      </c>
      <c r="R65" t="str">
        <f>IF(Q65&gt;0," was higher by "," was lower by ")</f>
        <v xml:space="preserve"> was lower by </v>
      </c>
      <c r="T65" t="s">
        <v>128</v>
      </c>
      <c r="U65" s="110">
        <f>ABS(Q65)</f>
        <v>71</v>
      </c>
    </row>
    <row r="66" spans="1:21">
      <c r="A66" t="s">
        <v>129</v>
      </c>
      <c r="B66" s="113" t="str" cm="1">
        <f t="array" ref="B66">IFERROR(IF(B63,INDEX($B$42:$G$42,SUMPRODUCT(MAX(($B$42:$G$58=B63)*(COLUMN($B$42:$G$58))))-COLUMN($B$42)+1),""),"")</f>
        <v/>
      </c>
      <c r="E66" s="73" t="e">
        <f>B63-$H$59</f>
        <v>#VALUE!</v>
      </c>
      <c r="F66" t="e">
        <f>IF(E66&gt;0," was higher by "," was lower by ")</f>
        <v>#VALUE!</v>
      </c>
      <c r="H66" s="75" t="s">
        <v>128</v>
      </c>
      <c r="I66" s="74" t="e">
        <f>ABS(E66)</f>
        <v>#VALUE!</v>
      </c>
      <c r="N66" t="s">
        <v>129</v>
      </c>
      <c r="O66" t="str">
        <f>IF(SUM(N59:S59)&gt;0,IFERROR(INDEX(B42:G42,MATCH(O63,N59:S59,0)),""),"Regional data is not available")</f>
        <v>Regional data is not available</v>
      </c>
      <c r="Q66" s="21">
        <f>O63-$T$59</f>
        <v>-71</v>
      </c>
      <c r="R66" t="str">
        <f>IF(Q66&gt;0," was higher by "," was lower by ")</f>
        <v xml:space="preserve"> was lower by </v>
      </c>
      <c r="T66" s="75" t="s">
        <v>128</v>
      </c>
      <c r="U66" s="110">
        <f>ABS(Q66)</f>
        <v>71</v>
      </c>
    </row>
    <row r="68" spans="1:21">
      <c r="A68" t="s">
        <v>130</v>
      </c>
      <c r="B68" t="str">
        <f>IF(B40="Air Quality",B66,IF(B40="Timeliness of information provided to road users through electronic signage",O66,IF(B40="Working with local highways authorities to review diversion routes for unplanned events",A27,B65)))</f>
        <v/>
      </c>
    </row>
    <row r="69" spans="1:21">
      <c r="A69" t="s">
        <v>131</v>
      </c>
      <c r="B69" t="str">
        <f>IF(B40="Air Quality",B65,IF(B40="Timeliness of information provided to road users through electronic signage",O65,B66))</f>
        <v/>
      </c>
    </row>
    <row r="72" spans="1:21">
      <c r="A72" t="str">
        <f>IF(AND(B40="Timeliness of information provided to road users through electronic signage",SUM(N59:S59)&gt;0),A75,IF(B40="Working with local highways authorities to review diversion routes for unplanned events",A76,A74))</f>
        <v>Note: Data only available at a national level.</v>
      </c>
    </row>
    <row r="73" spans="1:21">
      <c r="A73" s="90" t="str">
        <f>IFERROR("Compared to the average for the SRN as a whole, the"&amp;B65&amp;" "&amp;F62&amp;M62&amp;" while the"&amp;B66&amp;" "&amp;F63&amp;M63,"Note: Data only available at a national level.")</f>
        <v>Note: Data only available at a national level.</v>
      </c>
    </row>
    <row r="74" spans="1:21">
      <c r="A74" s="90" t="str">
        <f>IFERROR("Compared to the average for the SRN as a whole, the"&amp;B65&amp;" "&amp;F62&amp;K62&amp;" while the"&amp;B66&amp;" "&amp;F63&amp;K63,"Note: Data only available at a national level.")</f>
        <v>Note: Data only available at a national level.</v>
      </c>
    </row>
    <row r="75" spans="1:21">
      <c r="A75" s="90" t="str">
        <f>IFERROR("Compared to the average for the SRN as a whole, the"&amp;O66&amp;" "&amp;R62&amp;Y63&amp;" while the"&amp;O65&amp;" "&amp;R63&amp;Y62,"Note: Data only available at a national level.")</f>
        <v>Compared to the average for the SRN as a whole, theRegional data is not available score was lower by 00:00 percentage points while theRegional data is not available. performed worse by 00:00 percentage points</v>
      </c>
    </row>
    <row r="76" spans="1:21">
      <c r="A76" s="90" t="str">
        <f>IFERROR("Compared to the average for the SRN as a whole, the"&amp;B66&amp;" "&amp;F63&amp;K63,"Note: Data only available at a national level.")</f>
        <v>Note: Data only available at a national level.</v>
      </c>
    </row>
    <row r="79" spans="1:21">
      <c r="B79">
        <f>COUNTIF(B59:G59,"=100")</f>
        <v>0</v>
      </c>
    </row>
  </sheetData>
  <conditionalFormatting pivot="1">
    <cfRule type="expression" dxfId="26" priority="14">
      <formula>$B$40="Timeliness of information provided to road users through electronic signage"</formula>
    </cfRule>
  </conditionalFormatting>
  <conditionalFormatting pivot="1">
    <cfRule type="expression" dxfId="25" priority="13">
      <formula>$B$40="Timeliness of information provided to road users through electronic signage"</formula>
    </cfRule>
  </conditionalFormatting>
  <conditionalFormatting pivot="1">
    <cfRule type="expression" dxfId="24" priority="12">
      <formula>$B$40="Timeliness of information provided to road users through electronic signage"</formula>
    </cfRule>
  </conditionalFormatting>
  <conditionalFormatting pivot="1">
    <cfRule type="expression" dxfId="23" priority="11">
      <formula>$B$40="Timeliness of information provided to road users through electronic signage"</formula>
    </cfRule>
  </conditionalFormatting>
  <conditionalFormatting pivot="1">
    <cfRule type="expression" dxfId="22" priority="10">
      <formula>$B$40="Timeliness of information provided to road users through electronic signage"</formula>
    </cfRule>
  </conditionalFormatting>
  <conditionalFormatting pivot="1">
    <cfRule type="expression" dxfId="21" priority="9">
      <formula>$B$40="Timeliness of information provided to road users through electronic signage"</formula>
    </cfRule>
  </conditionalFormatting>
  <conditionalFormatting pivot="1">
    <cfRule type="expression" dxfId="20" priority="8">
      <formula>$B$40="Timeliness of information provided to road users through electronic signage"</formula>
    </cfRule>
  </conditionalFormatting>
  <conditionalFormatting pivot="1">
    <cfRule type="expression" dxfId="19" priority="7">
      <formula>$B$40="Timeliness of information provided to road users through electronic signage"</formula>
    </cfRule>
  </conditionalFormatting>
  <conditionalFormatting pivot="1">
    <cfRule type="expression" dxfId="18" priority="6">
      <formula>$B$40="Timeliness of information provided to road users through electronic signage"</formula>
    </cfRule>
  </conditionalFormatting>
  <conditionalFormatting pivot="1">
    <cfRule type="expression" dxfId="17" priority="5">
      <formula>$B$40="Timeliness of information provided to road users through electronic signage"</formula>
    </cfRule>
  </conditionalFormatting>
  <conditionalFormatting pivot="1">
    <cfRule type="expression" dxfId="16" priority="4">
      <formula>$B$40="Timeliness of information provided to road users through electronic signage"</formula>
    </cfRule>
  </conditionalFormatting>
  <conditionalFormatting pivot="1">
    <cfRule type="expression" dxfId="15" priority="3">
      <formula>$B$40="Timeliness of information provided to road users through electronic signage"</formula>
    </cfRule>
  </conditionalFormatting>
  <conditionalFormatting pivot="1">
    <cfRule type="expression" dxfId="14" priority="2">
      <formula>$B$40="Timeliness of information provided to road users through electronic signage"</formula>
    </cfRule>
  </conditionalFormatting>
  <conditionalFormatting pivot="1">
    <cfRule type="expression" dxfId="13" priority="1">
      <formula>$B$40="Timeliness of information provided to road users through electronic signage"</formula>
    </cfRule>
  </conditionalFormatting>
  <pageMargins left="0.7" right="0.7" top="0.75" bottom="0.75" header="0.3" footer="0.3"/>
  <pageSetup paperSize="9" orientation="portrait" r:id="rId10"/>
  <drawing r:id="rId11"/>
  <extLst>
    <ext xmlns:x14="http://schemas.microsoft.com/office/spreadsheetml/2009/9/main" uri="{A8765BA9-456A-4dab-B4F3-ACF838C121DE}">
      <x14:slicerList>
        <x14:slicer r:id="rId1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8"/>
  <sheetViews>
    <sheetView zoomScaleNormal="100" workbookViewId="0"/>
  </sheetViews>
  <sheetFormatPr defaultRowHeight="14.5"/>
  <cols>
    <col min="1" max="1" width="16.36328125" customWidth="1"/>
    <col min="2" max="2" width="100.6328125" customWidth="1"/>
    <col min="3" max="3" width="9" customWidth="1"/>
  </cols>
  <sheetData>
    <row r="1" spans="1:2" ht="23.5">
      <c r="A1" s="5" t="s">
        <v>28</v>
      </c>
      <c r="B1" s="15"/>
    </row>
    <row r="2" spans="1:2" ht="15.5">
      <c r="A2" s="4" t="s">
        <v>29</v>
      </c>
      <c r="B2" s="6"/>
    </row>
    <row r="3" spans="1:2" ht="15.5">
      <c r="A3" s="7" t="s">
        <v>30</v>
      </c>
      <c r="B3" s="8" t="s">
        <v>31</v>
      </c>
    </row>
    <row r="4" spans="1:2" ht="15.5">
      <c r="A4" s="27" t="s">
        <v>32</v>
      </c>
      <c r="B4" s="3" t="s">
        <v>33</v>
      </c>
    </row>
    <row r="5" spans="1:2" ht="46.5">
      <c r="A5" s="27" t="s">
        <v>34</v>
      </c>
      <c r="B5" s="3" t="s">
        <v>137</v>
      </c>
    </row>
    <row r="6" spans="1:2" ht="31">
      <c r="A6" s="27" t="s">
        <v>35</v>
      </c>
      <c r="B6" s="3" t="s">
        <v>36</v>
      </c>
    </row>
    <row r="7" spans="1:2" ht="31">
      <c r="A7" s="28" t="s">
        <v>37</v>
      </c>
      <c r="B7" s="3" t="s">
        <v>38</v>
      </c>
    </row>
    <row r="8" spans="1:2" ht="15.5">
      <c r="A8" s="28"/>
      <c r="B8" s="3"/>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9"/>
  <sheetViews>
    <sheetView zoomScaleNormal="100" workbookViewId="0"/>
  </sheetViews>
  <sheetFormatPr defaultRowHeight="14.5"/>
  <cols>
    <col min="1" max="1" width="34.08984375" bestFit="1" customWidth="1"/>
    <col min="2" max="2" width="104" customWidth="1"/>
  </cols>
  <sheetData>
    <row r="1" spans="1:2" ht="23.5">
      <c r="A1" s="16" t="s">
        <v>39</v>
      </c>
      <c r="B1" s="3"/>
    </row>
    <row r="2" spans="1:2" ht="15.5">
      <c r="A2" s="29" t="s">
        <v>40</v>
      </c>
      <c r="B2" s="3"/>
    </row>
    <row r="3" spans="1:2" ht="15.5">
      <c r="A3" s="17" t="s">
        <v>41</v>
      </c>
      <c r="B3" s="18" t="s">
        <v>42</v>
      </c>
    </row>
    <row r="4" spans="1:2" ht="15.5">
      <c r="A4" s="95" t="s">
        <v>43</v>
      </c>
      <c r="B4" s="96" t="s">
        <v>44</v>
      </c>
    </row>
    <row r="5" spans="1:2" ht="31">
      <c r="A5" s="38" t="s">
        <v>45</v>
      </c>
      <c r="B5" s="3" t="s">
        <v>46</v>
      </c>
    </row>
    <row r="6" spans="1:2" ht="62">
      <c r="A6" s="38" t="s">
        <v>47</v>
      </c>
      <c r="B6" s="2" t="s">
        <v>48</v>
      </c>
    </row>
    <row r="7" spans="1:2" ht="46.5">
      <c r="A7" s="38" t="s">
        <v>49</v>
      </c>
      <c r="B7" s="2" t="s">
        <v>50</v>
      </c>
    </row>
    <row r="8" spans="1:2" ht="62">
      <c r="A8" s="38" t="s">
        <v>51</v>
      </c>
      <c r="B8" s="3" t="s">
        <v>52</v>
      </c>
    </row>
    <row r="9" spans="1:2" ht="46.5">
      <c r="A9" s="38" t="s">
        <v>53</v>
      </c>
      <c r="B9" s="3" t="s">
        <v>54</v>
      </c>
    </row>
  </sheetData>
  <phoneticPr fontId="172"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9C3A2-EEBA-4499-8C5F-169FDDCF93C0}">
  <sheetPr codeName="Sheet11">
    <tabColor rgb="FF7030A0"/>
    <pageSetUpPr autoPageBreaks="0"/>
  </sheetPr>
  <dimension ref="A1:AG88"/>
  <sheetViews>
    <sheetView zoomScale="80" zoomScaleNormal="80" workbookViewId="0">
      <selection activeCell="R13" sqref="R13"/>
    </sheetView>
  </sheetViews>
  <sheetFormatPr defaultColWidth="0" defaultRowHeight="0" customHeight="1" zeroHeight="1"/>
  <cols>
    <col min="1" max="1" width="3.6328125" style="41" customWidth="1"/>
    <col min="2" max="3" width="6.90625" style="41" customWidth="1"/>
    <col min="4" max="12" width="8.6328125" style="41" customWidth="1"/>
    <col min="13" max="13" width="11.54296875" style="41" customWidth="1"/>
    <col min="14" max="17" width="8.6328125" style="41" customWidth="1"/>
    <col min="18" max="18" width="17.90625" style="41" customWidth="1"/>
    <col min="19" max="19" width="10.08984375" style="41" customWidth="1"/>
    <col min="20" max="20" width="5" style="41" customWidth="1"/>
    <col min="21" max="21" width="4.08984375" style="41" customWidth="1"/>
    <col min="22" max="27" width="8.6328125" style="41" customWidth="1"/>
    <col min="28" max="28" width="8.453125" style="41" customWidth="1"/>
    <col min="29" max="29" width="8.6328125" style="41" customWidth="1"/>
    <col min="30" max="30" width="1" style="41" customWidth="1"/>
    <col min="31" max="33" width="0" style="41" hidden="1" customWidth="1"/>
    <col min="34" max="16384" width="8.6328125" style="41" hidden="1"/>
  </cols>
  <sheetData>
    <row r="1" spans="3:30" ht="17.399999999999999" customHeight="1"/>
    <row r="2" spans="3:30" ht="34.5" customHeight="1">
      <c r="C2" s="64" t="s">
        <v>55</v>
      </c>
      <c r="D2" s="63"/>
      <c r="E2" s="63"/>
      <c r="F2" s="63"/>
      <c r="G2" s="63"/>
      <c r="H2" s="63"/>
      <c r="I2" s="63"/>
      <c r="J2" s="63"/>
      <c r="K2" s="63"/>
    </row>
    <row r="3" spans="3:30" ht="43">
      <c r="C3" s="64" t="s">
        <v>56</v>
      </c>
      <c r="D3" s="63"/>
      <c r="E3" s="63"/>
      <c r="F3" s="63"/>
      <c r="G3" s="63"/>
      <c r="H3" s="63"/>
      <c r="I3" s="63"/>
      <c r="J3" s="63"/>
      <c r="K3" s="63"/>
      <c r="L3" s="63"/>
      <c r="M3" s="63"/>
    </row>
    <row r="4" spans="3:30" ht="14.5">
      <c r="C4" s="62"/>
      <c r="D4" s="62"/>
      <c r="E4" s="62"/>
      <c r="F4" s="62"/>
      <c r="G4" s="62"/>
      <c r="H4" s="62"/>
      <c r="I4" s="62"/>
      <c r="J4" s="62"/>
      <c r="K4" s="62"/>
    </row>
    <row r="5" spans="3:30" ht="19">
      <c r="C5" s="61" t="s">
        <v>57</v>
      </c>
      <c r="D5" s="60"/>
      <c r="E5" s="60"/>
      <c r="F5" s="60"/>
      <c r="G5" s="60"/>
      <c r="H5" s="60"/>
      <c r="I5" s="60"/>
      <c r="J5" s="60"/>
      <c r="K5" s="60"/>
    </row>
    <row r="6" spans="3:30" ht="19">
      <c r="C6" s="60"/>
      <c r="D6" s="60"/>
      <c r="E6" s="60"/>
      <c r="F6" s="60"/>
      <c r="G6" s="60"/>
      <c r="H6" s="60"/>
      <c r="I6" s="60"/>
      <c r="J6" s="60"/>
      <c r="K6" s="60"/>
    </row>
    <row r="7" spans="3:30" ht="14.5">
      <c r="C7" s="117" t="s">
        <v>58</v>
      </c>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row>
    <row r="8" spans="3:30" ht="14.5">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row>
    <row r="9" spans="3:30" ht="16.5">
      <c r="C9" s="57" t="s">
        <v>59</v>
      </c>
      <c r="D9" s="59"/>
      <c r="E9" s="59"/>
      <c r="F9" s="59"/>
      <c r="G9" s="59"/>
      <c r="H9" s="59"/>
      <c r="I9" s="59"/>
      <c r="J9" s="59"/>
      <c r="K9" s="59"/>
      <c r="M9" s="57" t="s">
        <v>139</v>
      </c>
      <c r="T9" s="58"/>
      <c r="V9" s="57" t="s">
        <v>60</v>
      </c>
      <c r="X9" s="56"/>
    </row>
    <row r="10" spans="3:30" ht="14.5">
      <c r="AC10" s="55"/>
    </row>
    <row r="11" spans="3:30" ht="16.5">
      <c r="M11" s="52" t="str">
        <f>IFERROR("Best performing region ("&amp;workings!A59&amp;")","")</f>
        <v>Best performing region (2023-24)</v>
      </c>
      <c r="N11" s="51"/>
      <c r="O11" s="51"/>
      <c r="P11" s="51"/>
      <c r="Q11" s="50"/>
      <c r="R11" s="54" t="str">
        <f>workings!$B$68</f>
        <v/>
      </c>
      <c r="S11" s="51"/>
    </row>
    <row r="12" spans="3:30" ht="12.75" customHeight="1">
      <c r="M12" s="52"/>
      <c r="N12" s="51"/>
      <c r="O12" s="51"/>
      <c r="P12" s="51"/>
      <c r="Q12" s="51"/>
      <c r="R12" s="53"/>
      <c r="S12" s="51"/>
    </row>
    <row r="13" spans="3:30" ht="16.5">
      <c r="M13" s="52" t="str">
        <f>IFERROR("Worst performing region ("&amp;workings!A59&amp;")","")</f>
        <v>Worst performing region (2023-24)</v>
      </c>
      <c r="N13" s="51"/>
      <c r="O13" s="51"/>
      <c r="P13" s="51"/>
      <c r="Q13" s="50"/>
      <c r="R13" s="49" t="str">
        <f>workings!$B$69</f>
        <v/>
      </c>
    </row>
    <row r="14" spans="3:30" ht="23.25" customHeight="1">
      <c r="M14" s="114" t="str">
        <f>workings!A72</f>
        <v>Note: Data only available at a national level.</v>
      </c>
      <c r="N14" s="114"/>
      <c r="O14" s="114"/>
      <c r="P14" s="114"/>
      <c r="Q14" s="114"/>
      <c r="R14" s="114"/>
      <c r="S14" s="114"/>
      <c r="T14" s="114"/>
    </row>
    <row r="15" spans="3:30" ht="17.399999999999999" customHeight="1">
      <c r="M15" s="114"/>
      <c r="N15" s="114"/>
      <c r="O15" s="114"/>
      <c r="P15" s="114"/>
      <c r="Q15" s="114"/>
      <c r="R15" s="114"/>
      <c r="S15" s="114"/>
      <c r="T15" s="114"/>
      <c r="AD15" s="48"/>
    </row>
    <row r="16" spans="3:30" ht="14.5"/>
    <row r="17" spans="13:30" ht="35.4" customHeight="1">
      <c r="M17" s="115" t="str">
        <f>workings!$A$23</f>
        <v>The percentage of drivers who are satisfied with their journey on the strategic road network as measured by the
Strategic Roads User Survey (SRUS) conducted by Transport Focus (KPI).</v>
      </c>
      <c r="N17" s="115"/>
      <c r="O17" s="115"/>
      <c r="P17" s="115"/>
      <c r="Q17" s="115"/>
      <c r="R17" s="115"/>
      <c r="S17" s="115"/>
      <c r="T17" s="115"/>
      <c r="U17" s="115"/>
      <c r="V17" s="115"/>
      <c r="W17" s="115"/>
      <c r="X17" s="115"/>
      <c r="Y17" s="115"/>
      <c r="Z17" s="115"/>
      <c r="AA17" s="115"/>
      <c r="AB17" s="115"/>
    </row>
    <row r="18" spans="13:30" ht="36" customHeight="1">
      <c r="M18" s="116" t="str">
        <f>workings!$A$24</f>
        <v>National-level target for road period 2: Currently suspended.</v>
      </c>
      <c r="N18" s="116"/>
      <c r="O18" s="116"/>
      <c r="P18" s="116"/>
      <c r="Q18" s="116"/>
      <c r="R18" s="116"/>
      <c r="S18" s="116"/>
      <c r="T18" s="116"/>
      <c r="U18" s="116"/>
      <c r="V18" s="116"/>
      <c r="W18" s="116"/>
      <c r="X18" s="116"/>
      <c r="Y18" s="116"/>
      <c r="Z18" s="116"/>
      <c r="AA18" s="116"/>
      <c r="AB18" s="116"/>
    </row>
    <row r="19" spans="13:30" ht="21.9" customHeight="1">
      <c r="M19" s="47" t="str">
        <f>workings!$A$25</f>
        <v>Measure: Percentage. ***Target suspended. Replaced by SRUS in road period 2. See notes 2 and 6.</v>
      </c>
      <c r="N19" s="46"/>
      <c r="O19" s="45"/>
      <c r="P19" s="45"/>
      <c r="Q19" s="45"/>
      <c r="R19" s="45"/>
      <c r="S19" s="45"/>
      <c r="T19" s="45"/>
      <c r="U19" s="44"/>
      <c r="V19" s="44"/>
      <c r="W19" s="44"/>
      <c r="X19" s="44"/>
      <c r="Y19" s="44"/>
      <c r="Z19" s="44"/>
      <c r="AA19" s="44"/>
      <c r="AB19" s="42"/>
      <c r="AD19" s="43"/>
    </row>
    <row r="20" spans="13:30" ht="16.5" customHeight="1">
      <c r="M20" s="42"/>
      <c r="N20" s="42"/>
      <c r="O20" s="42"/>
      <c r="P20" s="42"/>
      <c r="Q20" s="42"/>
      <c r="R20" s="42"/>
      <c r="S20" s="42"/>
      <c r="T20" s="42"/>
      <c r="U20" s="42"/>
      <c r="V20" s="42"/>
      <c r="W20" s="42"/>
      <c r="X20" s="42"/>
      <c r="Y20" s="42"/>
      <c r="Z20" s="42"/>
      <c r="AA20" s="42"/>
      <c r="AB20" s="42"/>
    </row>
    <row r="21" spans="13:30" ht="16.5" customHeight="1">
      <c r="M21" s="42"/>
      <c r="N21" s="42"/>
      <c r="O21" s="42"/>
      <c r="P21" s="42"/>
      <c r="Q21" s="42"/>
      <c r="R21" s="42"/>
      <c r="S21" s="42"/>
      <c r="T21" s="42"/>
      <c r="U21" s="42"/>
      <c r="V21" s="42"/>
      <c r="W21" s="42"/>
      <c r="X21" s="42"/>
      <c r="Y21" s="42"/>
      <c r="Z21" s="42"/>
      <c r="AA21" s="42"/>
      <c r="AB21" s="42"/>
    </row>
    <row r="22" spans="13:30" ht="14.5"/>
    <row r="23" spans="13:30" ht="14.5"/>
    <row r="24" spans="13:30" ht="14.5"/>
    <row r="25" spans="13:30" ht="14.5"/>
    <row r="26" spans="13:30" ht="14.5"/>
    <row r="27" spans="13:30" ht="14.5"/>
    <row r="28" spans="13:30" ht="14.5"/>
    <row r="29" spans="13:30" ht="14.5"/>
    <row r="30" spans="13:30" ht="14.5"/>
    <row r="31" spans="13:30" ht="14.5"/>
    <row r="32" spans="13:30" ht="14.5"/>
    <row r="33" ht="14.5"/>
    <row r="34" ht="14.5"/>
    <row r="35" ht="14.5"/>
    <row r="36" ht="14.5"/>
    <row r="37" ht="14.5"/>
    <row r="38" ht="14.5"/>
    <row r="39" ht="14.5"/>
    <row r="40" ht="14.5"/>
    <row r="41" ht="14.5"/>
    <row r="42" ht="14.5"/>
    <row r="43" ht="14.5"/>
    <row r="44" ht="14.5"/>
    <row r="45" ht="14.5"/>
    <row r="46" ht="14.5"/>
    <row r="47" ht="14.5"/>
    <row r="48" ht="14.5"/>
    <row r="49" spans="13:22" ht="14.5"/>
    <row r="50" spans="13:22" ht="14.5"/>
    <row r="51" spans="13:22" ht="14.5"/>
    <row r="52" spans="13:22" ht="14.4" customHeight="1">
      <c r="M52" s="42"/>
      <c r="N52" s="42"/>
      <c r="O52" s="42"/>
      <c r="P52" s="42"/>
      <c r="Q52" s="42"/>
      <c r="R52" s="42"/>
      <c r="S52" s="42"/>
      <c r="T52" s="42"/>
      <c r="U52" s="42"/>
      <c r="V52" s="42"/>
    </row>
    <row r="53" spans="13:22" ht="14.4" customHeight="1">
      <c r="M53" s="42"/>
      <c r="N53" s="42"/>
      <c r="O53" s="42"/>
      <c r="P53" s="42"/>
      <c r="Q53" s="42"/>
      <c r="R53" s="42"/>
      <c r="S53" s="42"/>
      <c r="T53" s="42"/>
      <c r="U53" s="42"/>
      <c r="V53" s="42"/>
    </row>
    <row r="54" spans="13:22" ht="14.4" customHeight="1">
      <c r="M54" s="42"/>
      <c r="N54" s="42"/>
      <c r="O54" s="42"/>
      <c r="P54" s="42"/>
      <c r="Q54" s="42"/>
      <c r="R54" s="42"/>
      <c r="S54" s="42"/>
      <c r="T54" s="42"/>
      <c r="U54" s="42"/>
      <c r="V54" s="42"/>
    </row>
    <row r="55" spans="13:22" ht="14.4" customHeight="1">
      <c r="M55" s="42"/>
      <c r="N55" s="42"/>
      <c r="O55" s="42"/>
      <c r="P55" s="42"/>
      <c r="Q55" s="42"/>
      <c r="R55" s="42"/>
      <c r="S55" s="42"/>
      <c r="T55" s="42"/>
      <c r="U55" s="42"/>
      <c r="V55" s="42"/>
    </row>
    <row r="56" spans="13:22" ht="14.4" customHeight="1">
      <c r="M56" s="42"/>
      <c r="N56" s="42"/>
      <c r="O56" s="42"/>
      <c r="P56" s="42"/>
      <c r="Q56" s="42"/>
      <c r="R56" s="42"/>
      <c r="S56" s="42"/>
      <c r="T56" s="42"/>
      <c r="U56" s="42"/>
      <c r="V56" s="42"/>
    </row>
    <row r="57" spans="13:22" ht="14.4" customHeight="1">
      <c r="M57" s="42"/>
      <c r="N57" s="42"/>
      <c r="O57" s="42"/>
      <c r="P57" s="42"/>
      <c r="Q57" s="42"/>
      <c r="R57" s="42"/>
      <c r="S57" s="42"/>
      <c r="T57" s="42"/>
      <c r="U57" s="42"/>
      <c r="V57" s="42"/>
    </row>
    <row r="58" spans="13:22" ht="14.4" customHeight="1">
      <c r="M58" s="42"/>
      <c r="N58" s="42"/>
      <c r="O58" s="42"/>
      <c r="P58" s="42"/>
      <c r="Q58" s="42"/>
      <c r="R58" s="42"/>
      <c r="S58" s="42"/>
      <c r="T58" s="42"/>
      <c r="U58" s="42"/>
      <c r="V58" s="42"/>
    </row>
    <row r="59" spans="13:22" ht="14.4" customHeight="1">
      <c r="M59" s="42"/>
      <c r="N59" s="42"/>
      <c r="O59" s="42"/>
      <c r="P59" s="42"/>
      <c r="Q59" s="42"/>
      <c r="R59" s="42"/>
      <c r="S59" s="42"/>
      <c r="T59" s="42"/>
      <c r="U59" s="42"/>
      <c r="V59" s="42"/>
    </row>
    <row r="60" spans="13:22" ht="14.4" customHeight="1">
      <c r="M60" s="42"/>
      <c r="N60" s="42"/>
      <c r="O60" s="42"/>
      <c r="P60" s="42"/>
      <c r="Q60" s="42"/>
      <c r="R60" s="42"/>
      <c r="S60" s="42"/>
      <c r="T60" s="42"/>
      <c r="U60" s="42"/>
      <c r="V60" s="42"/>
    </row>
    <row r="61" spans="13:22" ht="14.4" customHeight="1">
      <c r="M61" s="42"/>
      <c r="N61" s="42"/>
      <c r="O61" s="42"/>
      <c r="P61" s="42"/>
      <c r="Q61" s="42"/>
      <c r="R61" s="42"/>
      <c r="S61" s="42"/>
      <c r="T61" s="42"/>
      <c r="U61" s="42"/>
      <c r="V61" s="42"/>
    </row>
    <row r="62" spans="13:22" ht="14.4" customHeight="1">
      <c r="M62" s="42"/>
      <c r="N62" s="42"/>
      <c r="O62" s="42"/>
      <c r="P62" s="42"/>
      <c r="Q62" s="42"/>
      <c r="R62" s="42"/>
      <c r="S62" s="42"/>
      <c r="T62" s="42"/>
      <c r="U62" s="42"/>
      <c r="V62" s="42"/>
    </row>
    <row r="63" spans="13:22" ht="14.4" customHeight="1">
      <c r="M63" s="42"/>
      <c r="N63" s="42"/>
      <c r="O63" s="42"/>
      <c r="P63" s="42"/>
      <c r="Q63" s="42"/>
      <c r="R63" s="42"/>
      <c r="S63" s="42"/>
      <c r="T63" s="42"/>
      <c r="U63" s="42"/>
      <c r="V63" s="42"/>
    </row>
    <row r="64" spans="13:22" ht="14.4" customHeight="1">
      <c r="M64" s="42"/>
      <c r="N64" s="42"/>
      <c r="O64" s="42"/>
      <c r="P64" s="42"/>
      <c r="Q64" s="42"/>
      <c r="R64" s="42"/>
      <c r="S64" s="42"/>
      <c r="T64" s="42"/>
      <c r="U64" s="42"/>
      <c r="V64" s="42"/>
    </row>
    <row r="65" spans="13:22" ht="14.4" customHeight="1">
      <c r="M65" s="42"/>
      <c r="N65" s="42"/>
      <c r="O65" s="42"/>
      <c r="P65" s="42"/>
      <c r="Q65" s="42"/>
      <c r="R65" s="42"/>
      <c r="S65" s="42"/>
      <c r="T65" s="42"/>
      <c r="U65" s="42"/>
      <c r="V65" s="42"/>
    </row>
    <row r="66" spans="13:22" ht="14.4" customHeight="1">
      <c r="M66" s="42"/>
      <c r="N66" s="42"/>
      <c r="O66" s="42"/>
      <c r="P66" s="42"/>
      <c r="Q66" s="42"/>
      <c r="R66" s="42"/>
      <c r="S66" s="42"/>
      <c r="T66" s="42"/>
      <c r="U66" s="42"/>
      <c r="V66" s="42"/>
    </row>
    <row r="67" spans="13:22" ht="14.4" customHeight="1">
      <c r="M67" s="42"/>
      <c r="N67" s="42"/>
      <c r="O67" s="42"/>
      <c r="P67" s="42"/>
      <c r="Q67" s="42"/>
      <c r="R67" s="42"/>
      <c r="S67" s="42"/>
      <c r="T67" s="42"/>
      <c r="U67" s="42"/>
      <c r="V67" s="42"/>
    </row>
    <row r="68" spans="13:22" ht="14.4" customHeight="1">
      <c r="M68" s="42"/>
      <c r="N68" s="42"/>
      <c r="O68" s="42"/>
      <c r="P68" s="42"/>
      <c r="Q68" s="42"/>
      <c r="R68" s="42"/>
      <c r="S68" s="42"/>
      <c r="T68" s="42"/>
      <c r="U68" s="42"/>
      <c r="V68" s="42"/>
    </row>
    <row r="69" spans="13:22" ht="14.4" customHeight="1">
      <c r="M69" s="42"/>
      <c r="N69" s="42"/>
      <c r="O69" s="42"/>
      <c r="P69" s="42"/>
      <c r="Q69" s="42"/>
      <c r="R69" s="42"/>
      <c r="S69" s="42"/>
      <c r="T69" s="42"/>
      <c r="U69" s="42"/>
      <c r="V69" s="42"/>
    </row>
    <row r="70" spans="13:22" ht="14.5"/>
    <row r="71" spans="13:22" ht="14.5"/>
    <row r="72" spans="13:22" ht="14.5"/>
    <row r="73" spans="13:22" ht="14.5"/>
    <row r="74" spans="13:22" ht="14.5"/>
    <row r="75" spans="13:22" ht="14.5"/>
    <row r="76" spans="13:22" ht="14.5"/>
    <row r="77" spans="13:22" ht="14.5"/>
    <row r="78" spans="13:22" ht="14.5"/>
    <row r="79" spans="13:22" ht="14.5"/>
    <row r="80" spans="13:22" ht="14.5"/>
    <row r="81" ht="14.5"/>
    <row r="82" ht="14.5"/>
    <row r="83" ht="14.5"/>
    <row r="84" ht="14.5"/>
    <row r="85" ht="14.5"/>
    <row r="86" ht="14.5"/>
    <row r="87" ht="14.5"/>
    <row r="88" ht="14.5"/>
  </sheetData>
  <sheetProtection selectLockedCells="1" pivotTables="0"/>
  <mergeCells count="4">
    <mergeCell ref="M14:T15"/>
    <mergeCell ref="M17:AB17"/>
    <mergeCell ref="M18:AB18"/>
    <mergeCell ref="C7:AC8"/>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H20"/>
  <sheetViews>
    <sheetView zoomScaleNormal="100" workbookViewId="0"/>
  </sheetViews>
  <sheetFormatPr defaultColWidth="9" defaultRowHeight="14.5"/>
  <cols>
    <col min="1" max="1" width="50.54296875" customWidth="1"/>
    <col min="2" max="2" width="20.54296875" style="14" customWidth="1"/>
    <col min="3" max="3" width="23.90625" style="14" customWidth="1"/>
    <col min="4" max="8" width="20.54296875" style="14" customWidth="1"/>
  </cols>
  <sheetData>
    <row r="1" spans="1:8" ht="30" customHeight="1">
      <c r="A1" s="9" t="s">
        <v>140</v>
      </c>
    </row>
    <row r="2" spans="1:8" ht="20.149999999999999" customHeight="1">
      <c r="A2" s="10" t="s">
        <v>40</v>
      </c>
    </row>
    <row r="3" spans="1:8" ht="20.149999999999999" customHeight="1">
      <c r="A3" s="103" t="s">
        <v>58</v>
      </c>
      <c r="B3" s="88"/>
      <c r="C3" s="88"/>
      <c r="D3" s="88"/>
      <c r="F3" s="10"/>
    </row>
    <row r="4" spans="1:8" ht="20.149999999999999" customHeight="1">
      <c r="A4" s="10" t="s">
        <v>61</v>
      </c>
      <c r="C4" s="10"/>
      <c r="E4" s="10"/>
      <c r="G4" s="10"/>
    </row>
    <row r="5" spans="1:8" ht="21" customHeight="1">
      <c r="A5" s="32" t="s">
        <v>62</v>
      </c>
      <c r="C5" s="10"/>
      <c r="E5" s="10"/>
      <c r="G5" s="10"/>
    </row>
    <row r="6" spans="1:8" s="12" customFormat="1" ht="63.65" customHeight="1">
      <c r="A6" s="11" t="s">
        <v>63</v>
      </c>
      <c r="B6" s="37" t="s">
        <v>141</v>
      </c>
      <c r="C6" s="24" t="s">
        <v>64</v>
      </c>
      <c r="D6" s="24" t="s">
        <v>65</v>
      </c>
      <c r="E6" s="24" t="s">
        <v>66</v>
      </c>
      <c r="F6" s="24" t="s">
        <v>67</v>
      </c>
      <c r="G6" s="24" t="s">
        <v>68</v>
      </c>
      <c r="H6" s="24" t="s">
        <v>135</v>
      </c>
    </row>
    <row r="7" spans="1:8" s="12" customFormat="1" ht="20.149999999999999" customHeight="1">
      <c r="A7" s="91" t="s">
        <v>70</v>
      </c>
      <c r="B7" s="97">
        <v>89.3</v>
      </c>
      <c r="C7" s="98">
        <v>86.09</v>
      </c>
      <c r="D7" s="98">
        <v>83.54</v>
      </c>
      <c r="E7" s="98">
        <v>89.05</v>
      </c>
      <c r="F7" s="98">
        <v>91.75</v>
      </c>
      <c r="G7" s="98">
        <v>89.070000000000007</v>
      </c>
      <c r="H7" s="98">
        <v>91.100000000000009</v>
      </c>
    </row>
    <row r="8" spans="1:8" s="12" customFormat="1" ht="20.149999999999999" customHeight="1">
      <c r="A8" s="91" t="s">
        <v>71</v>
      </c>
      <c r="B8" s="97">
        <v>89.1</v>
      </c>
      <c r="C8" s="98">
        <v>87.99</v>
      </c>
      <c r="D8" s="98">
        <v>82.99</v>
      </c>
      <c r="E8" s="98">
        <v>86.839999999999989</v>
      </c>
      <c r="F8" s="98">
        <v>91.05</v>
      </c>
      <c r="G8" s="98">
        <v>88.460000000000008</v>
      </c>
      <c r="H8" s="98">
        <v>90.83</v>
      </c>
    </row>
    <row r="9" spans="1:8" s="12" customFormat="1" ht="20.149999999999999" customHeight="1">
      <c r="A9" s="91" t="s">
        <v>72</v>
      </c>
      <c r="B9" s="97">
        <v>88.7</v>
      </c>
      <c r="C9" s="98">
        <v>88.3</v>
      </c>
      <c r="D9" s="98">
        <v>77.900000000000006</v>
      </c>
      <c r="E9" s="98">
        <v>88.6</v>
      </c>
      <c r="F9" s="98">
        <v>90.3</v>
      </c>
      <c r="G9" s="98">
        <v>90.8</v>
      </c>
      <c r="H9" s="98">
        <v>88.8</v>
      </c>
    </row>
    <row r="10" spans="1:8" s="12" customFormat="1" ht="20.149999999999999" customHeight="1">
      <c r="A10" s="91" t="s">
        <v>73</v>
      </c>
      <c r="B10" s="97">
        <v>88.4</v>
      </c>
      <c r="C10" s="98">
        <v>91.12</v>
      </c>
      <c r="D10" s="98">
        <v>84</v>
      </c>
      <c r="E10" s="98">
        <v>88.26</v>
      </c>
      <c r="F10" s="98">
        <v>90.29</v>
      </c>
      <c r="G10" s="98">
        <v>86.429999999999993</v>
      </c>
      <c r="H10" s="98">
        <v>88.83</v>
      </c>
    </row>
    <row r="11" spans="1:8" s="12" customFormat="1" ht="20.149999999999999" customHeight="1" thickBot="1">
      <c r="A11" s="92" t="s">
        <v>74</v>
      </c>
      <c r="B11" s="99">
        <v>89.2</v>
      </c>
      <c r="C11" s="100">
        <v>92.63</v>
      </c>
      <c r="D11" s="100">
        <v>85.22</v>
      </c>
      <c r="E11" s="100">
        <v>89.89</v>
      </c>
      <c r="F11" s="100">
        <v>88.160000000000011</v>
      </c>
      <c r="G11" s="100">
        <v>88.69</v>
      </c>
      <c r="H11" s="100">
        <v>88.17</v>
      </c>
    </row>
    <row r="12" spans="1:8" ht="20.149999999999999" customHeight="1" thickTop="1">
      <c r="A12" s="91" t="s">
        <v>75</v>
      </c>
      <c r="B12" s="97" t="s">
        <v>76</v>
      </c>
      <c r="C12" s="98" t="s">
        <v>76</v>
      </c>
      <c r="D12" s="98" t="s">
        <v>76</v>
      </c>
      <c r="E12" s="98" t="s">
        <v>76</v>
      </c>
      <c r="F12" s="98" t="s">
        <v>76</v>
      </c>
      <c r="G12" s="98" t="s">
        <v>76</v>
      </c>
      <c r="H12" s="98" t="s">
        <v>76</v>
      </c>
    </row>
    <row r="13" spans="1:8" ht="20.149999999999999" customHeight="1">
      <c r="A13" s="91" t="s">
        <v>77</v>
      </c>
      <c r="B13" s="97" t="s">
        <v>76</v>
      </c>
      <c r="C13" s="98" t="s">
        <v>76</v>
      </c>
      <c r="D13" s="98" t="s">
        <v>76</v>
      </c>
      <c r="E13" s="98" t="s">
        <v>76</v>
      </c>
      <c r="F13" s="98" t="s">
        <v>76</v>
      </c>
      <c r="G13" s="98" t="s">
        <v>76</v>
      </c>
      <c r="H13" s="98" t="s">
        <v>76</v>
      </c>
    </row>
    <row r="14" spans="1:8" ht="20.399999999999999" customHeight="1">
      <c r="A14" s="91" t="s">
        <v>78</v>
      </c>
      <c r="B14" s="112">
        <v>73</v>
      </c>
      <c r="C14" s="98">
        <v>72.900000000000006</v>
      </c>
      <c r="D14" s="98">
        <v>69.599999999999994</v>
      </c>
      <c r="E14" s="98">
        <v>72.7</v>
      </c>
      <c r="F14" s="98">
        <v>72.2</v>
      </c>
      <c r="G14" s="98">
        <v>71.5</v>
      </c>
      <c r="H14" s="98">
        <v>80.2</v>
      </c>
    </row>
    <row r="15" spans="1:8" ht="20.399999999999999" customHeight="1">
      <c r="A15" s="91" t="s">
        <v>79</v>
      </c>
      <c r="B15" s="112">
        <v>71</v>
      </c>
      <c r="C15" s="98" t="s">
        <v>76</v>
      </c>
      <c r="D15" s="98" t="s">
        <v>76</v>
      </c>
      <c r="E15" s="98" t="s">
        <v>76</v>
      </c>
      <c r="F15" s="98" t="s">
        <v>76</v>
      </c>
      <c r="G15" s="98" t="s">
        <v>76</v>
      </c>
      <c r="H15" s="98" t="s">
        <v>76</v>
      </c>
    </row>
    <row r="20" spans="2:8" ht="20.25" customHeight="1">
      <c r="B20" s="93">
        <v>0.89319999999999999</v>
      </c>
      <c r="C20"/>
      <c r="D20"/>
      <c r="E20"/>
      <c r="F20"/>
      <c r="G20"/>
      <c r="H20"/>
    </row>
  </sheetData>
  <phoneticPr fontId="172"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8"/>
  <sheetViews>
    <sheetView zoomScaleNormal="100" workbookViewId="0"/>
  </sheetViews>
  <sheetFormatPr defaultColWidth="9" defaultRowHeight="14.5"/>
  <cols>
    <col min="1" max="1" width="50.54296875" customWidth="1"/>
    <col min="2" max="8" width="20.54296875" style="14" customWidth="1"/>
  </cols>
  <sheetData>
    <row r="1" spans="1:8" ht="30" customHeight="1">
      <c r="A1" s="9" t="s">
        <v>142</v>
      </c>
    </row>
    <row r="2" spans="1:8" ht="20.149999999999999" customHeight="1">
      <c r="A2" s="10" t="s">
        <v>40</v>
      </c>
    </row>
    <row r="3" spans="1:8" ht="20.149999999999999" customHeight="1">
      <c r="A3" s="32" t="s">
        <v>80</v>
      </c>
    </row>
    <row r="4" spans="1:8" s="12" customFormat="1" ht="50.15" customHeight="1">
      <c r="A4" s="11" t="s">
        <v>63</v>
      </c>
      <c r="B4" s="37" t="s">
        <v>143</v>
      </c>
      <c r="C4" s="24" t="s">
        <v>82</v>
      </c>
      <c r="D4" s="24" t="s">
        <v>83</v>
      </c>
      <c r="E4" s="24" t="s">
        <v>84</v>
      </c>
      <c r="F4" s="24" t="s">
        <v>85</v>
      </c>
      <c r="G4" s="24" t="s">
        <v>86</v>
      </c>
      <c r="H4" s="24" t="s">
        <v>69</v>
      </c>
    </row>
    <row r="5" spans="1:8" s="12" customFormat="1" ht="20.149999999999999" customHeight="1">
      <c r="A5" s="11" t="s">
        <v>87</v>
      </c>
      <c r="B5" s="40">
        <v>54.5</v>
      </c>
      <c r="C5" s="22">
        <v>58.4</v>
      </c>
      <c r="D5" s="23">
        <v>58.3</v>
      </c>
      <c r="E5" s="23">
        <v>66.3</v>
      </c>
      <c r="F5" s="23">
        <v>58</v>
      </c>
      <c r="G5" s="23">
        <v>42.4</v>
      </c>
      <c r="H5" s="23">
        <v>63.5</v>
      </c>
    </row>
    <row r="6" spans="1:8" s="12" customFormat="1" ht="20.149999999999999" customHeight="1">
      <c r="A6" s="11" t="s">
        <v>77</v>
      </c>
      <c r="B6" s="40">
        <v>68.099999999999994</v>
      </c>
      <c r="C6" s="22">
        <v>62.1</v>
      </c>
      <c r="D6" s="22">
        <v>66.7</v>
      </c>
      <c r="E6" s="22">
        <v>73.8</v>
      </c>
      <c r="F6" s="22">
        <v>72.099999999999994</v>
      </c>
      <c r="G6" s="22">
        <v>63.4</v>
      </c>
      <c r="H6" s="22">
        <v>73.7</v>
      </c>
    </row>
    <row r="7" spans="1:8" ht="20.399999999999999" customHeight="1">
      <c r="A7" s="11" t="s">
        <v>78</v>
      </c>
      <c r="B7" s="40">
        <v>70</v>
      </c>
      <c r="C7" s="22">
        <v>70.2</v>
      </c>
      <c r="D7" s="22">
        <v>78.900000000000006</v>
      </c>
      <c r="E7" s="22">
        <v>68.3</v>
      </c>
      <c r="F7" s="22">
        <v>75.599999999999994</v>
      </c>
      <c r="G7" s="22">
        <v>61.5</v>
      </c>
      <c r="H7" s="22">
        <v>79.7</v>
      </c>
    </row>
    <row r="8" spans="1:8" ht="20.399999999999999" customHeight="1">
      <c r="A8" s="11" t="s">
        <v>79</v>
      </c>
      <c r="B8" s="40">
        <v>71.099999999999994</v>
      </c>
      <c r="C8" s="22" t="s">
        <v>76</v>
      </c>
      <c r="D8" s="22" t="s">
        <v>76</v>
      </c>
      <c r="E8" s="22" t="s">
        <v>76</v>
      </c>
      <c r="F8" s="22" t="s">
        <v>76</v>
      </c>
      <c r="G8" s="22" t="s">
        <v>76</v>
      </c>
      <c r="H8" s="22" t="s">
        <v>76</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H7"/>
  <sheetViews>
    <sheetView zoomScaleNormal="100" workbookViewId="0"/>
  </sheetViews>
  <sheetFormatPr defaultRowHeight="14.5"/>
  <cols>
    <col min="1" max="1" width="50.54296875" customWidth="1"/>
    <col min="2" max="8" width="20.54296875" customWidth="1"/>
  </cols>
  <sheetData>
    <row r="1" spans="1:8" ht="30" customHeight="1">
      <c r="A1" s="9" t="s">
        <v>144</v>
      </c>
      <c r="B1" s="9"/>
      <c r="C1" s="9"/>
      <c r="D1" s="9"/>
      <c r="E1" s="9"/>
      <c r="F1" s="9"/>
      <c r="G1" s="9"/>
      <c r="H1" s="9"/>
    </row>
    <row r="2" spans="1:8" ht="20.149999999999999" customHeight="1">
      <c r="A2" s="27" t="s">
        <v>40</v>
      </c>
      <c r="B2" s="27"/>
      <c r="C2" s="31"/>
      <c r="D2" s="31"/>
      <c r="E2" s="31"/>
      <c r="F2" s="31"/>
      <c r="G2" s="31"/>
      <c r="H2" s="31"/>
    </row>
    <row r="3" spans="1:8" ht="50.15" customHeight="1">
      <c r="A3" s="11" t="s">
        <v>63</v>
      </c>
      <c r="B3" s="37" t="s">
        <v>145</v>
      </c>
      <c r="C3" s="24" t="s">
        <v>88</v>
      </c>
      <c r="D3" s="24" t="s">
        <v>89</v>
      </c>
      <c r="E3" s="24" t="s">
        <v>90</v>
      </c>
      <c r="F3" s="24" t="s">
        <v>91</v>
      </c>
      <c r="G3" s="24" t="s">
        <v>92</v>
      </c>
      <c r="H3" s="24" t="s">
        <v>93</v>
      </c>
    </row>
    <row r="4" spans="1:8" ht="20.149999999999999" customHeight="1">
      <c r="A4" s="11" t="s">
        <v>94</v>
      </c>
      <c r="B4" s="105">
        <v>1.3078703703703705E-3</v>
      </c>
      <c r="C4" s="107">
        <v>1.6087962962962963E-3</v>
      </c>
      <c r="D4" s="106">
        <v>1.0879629629629629E-3</v>
      </c>
      <c r="E4" s="106">
        <v>1.25E-3</v>
      </c>
      <c r="F4" s="106">
        <v>1.3078703703703705E-3</v>
      </c>
      <c r="G4" s="106">
        <v>1.4930555555555556E-3</v>
      </c>
      <c r="H4" s="106">
        <v>1.1921296296296296E-3</v>
      </c>
    </row>
    <row r="5" spans="1:8" ht="20.149999999999999" customHeight="1">
      <c r="A5" s="11" t="s">
        <v>77</v>
      </c>
      <c r="B5" s="105">
        <v>1.5162037037037036E-3</v>
      </c>
      <c r="C5" s="107">
        <v>2.1990740740740742E-3</v>
      </c>
      <c r="D5" s="106">
        <v>1.2152777777777778E-3</v>
      </c>
      <c r="E5" s="106">
        <v>9.9537037037037042E-4</v>
      </c>
      <c r="F5" s="106">
        <v>1.3078703703703705E-3</v>
      </c>
      <c r="G5" s="106">
        <v>1.4351851851851854E-3</v>
      </c>
      <c r="H5" s="106">
        <v>1.8865740740740742E-3</v>
      </c>
    </row>
    <row r="6" spans="1:8" ht="20.399999999999999" customHeight="1">
      <c r="A6" s="11" t="s">
        <v>78</v>
      </c>
      <c r="B6" s="105">
        <v>1.6203703703703703E-3</v>
      </c>
      <c r="C6" s="107">
        <v>1.7939814814814815E-3</v>
      </c>
      <c r="D6" s="106">
        <v>1.6782407407407406E-3</v>
      </c>
      <c r="E6" s="106">
        <v>1.8055555555555557E-3</v>
      </c>
      <c r="F6" s="106">
        <v>1.3888888888888889E-3</v>
      </c>
      <c r="G6" s="106">
        <v>1.3888888888888889E-3</v>
      </c>
      <c r="H6" s="106">
        <v>1.8402777777777777E-3</v>
      </c>
    </row>
    <row r="7" spans="1:8" ht="20.399999999999999" customHeight="1">
      <c r="A7" s="11" t="s">
        <v>79</v>
      </c>
      <c r="B7" s="105">
        <v>1.6550925925925926E-3</v>
      </c>
      <c r="C7" s="107" t="s">
        <v>76</v>
      </c>
      <c r="D7" s="106" t="s">
        <v>76</v>
      </c>
      <c r="E7" s="106" t="s">
        <v>76</v>
      </c>
      <c r="F7" s="106" t="s">
        <v>76</v>
      </c>
      <c r="G7" s="106" t="s">
        <v>76</v>
      </c>
      <c r="H7" s="106" t="s">
        <v>76</v>
      </c>
    </row>
  </sheetData>
  <phoneticPr fontId="172"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7">
    <tabColor rgb="FF253268"/>
  </sheetPr>
  <dimension ref="A1:H7"/>
  <sheetViews>
    <sheetView zoomScaleNormal="100" workbookViewId="0"/>
  </sheetViews>
  <sheetFormatPr defaultRowHeight="14.5"/>
  <cols>
    <col min="1" max="1" width="50.54296875" customWidth="1"/>
    <col min="2" max="8" width="20.54296875" customWidth="1"/>
  </cols>
  <sheetData>
    <row r="1" spans="1:8" ht="30" customHeight="1">
      <c r="A1" s="30" t="s">
        <v>146</v>
      </c>
      <c r="B1" s="14"/>
      <c r="C1" s="14"/>
      <c r="D1" s="14"/>
      <c r="E1" s="14"/>
      <c r="F1" s="14"/>
      <c r="G1" s="14"/>
      <c r="H1" s="14"/>
    </row>
    <row r="2" spans="1:8" ht="21" customHeight="1">
      <c r="A2" s="10" t="s">
        <v>40</v>
      </c>
      <c r="B2" s="14"/>
      <c r="C2" s="14"/>
      <c r="D2" s="14"/>
      <c r="E2" s="14"/>
      <c r="F2" s="14"/>
      <c r="G2" s="14"/>
      <c r="H2" s="14"/>
    </row>
    <row r="3" spans="1:8" ht="46.5">
      <c r="A3" s="11" t="s">
        <v>63</v>
      </c>
      <c r="B3" s="37" t="s">
        <v>143</v>
      </c>
      <c r="C3" s="24" t="s">
        <v>82</v>
      </c>
      <c r="D3" s="24" t="s">
        <v>83</v>
      </c>
      <c r="E3" s="24" t="s">
        <v>84</v>
      </c>
      <c r="F3" s="24" t="s">
        <v>85</v>
      </c>
      <c r="G3" s="24" t="s">
        <v>86</v>
      </c>
      <c r="H3" s="24" t="s">
        <v>69</v>
      </c>
    </row>
    <row r="4" spans="1:8" ht="20.149999999999999" customHeight="1">
      <c r="A4" s="11" t="s">
        <v>94</v>
      </c>
      <c r="B4" s="40">
        <v>98.5</v>
      </c>
      <c r="C4" s="22">
        <v>99.1</v>
      </c>
      <c r="D4" s="22">
        <v>98.9</v>
      </c>
      <c r="E4" s="22">
        <v>98.1</v>
      </c>
      <c r="F4" s="22">
        <v>97.899999999999991</v>
      </c>
      <c r="G4" s="22">
        <v>98.8</v>
      </c>
      <c r="H4" s="22">
        <v>98.9</v>
      </c>
    </row>
    <row r="5" spans="1:8" ht="20.149999999999999" customHeight="1">
      <c r="A5" s="11" t="s">
        <v>95</v>
      </c>
      <c r="B5" s="40">
        <v>98.4</v>
      </c>
      <c r="C5" s="22">
        <v>98</v>
      </c>
      <c r="D5" s="22">
        <v>98.4</v>
      </c>
      <c r="E5" s="22">
        <v>97.5</v>
      </c>
      <c r="F5" s="22">
        <v>98.1</v>
      </c>
      <c r="G5" s="22">
        <v>98.1</v>
      </c>
      <c r="H5" s="22">
        <v>98.9</v>
      </c>
    </row>
    <row r="6" spans="1:8" ht="20.399999999999999" customHeight="1">
      <c r="A6" s="11" t="s">
        <v>78</v>
      </c>
      <c r="B6" s="40">
        <v>98.6</v>
      </c>
      <c r="C6" s="22">
        <v>99</v>
      </c>
      <c r="D6" s="104">
        <v>98.7</v>
      </c>
      <c r="E6" s="104">
        <v>98.2</v>
      </c>
      <c r="F6" s="22">
        <v>98.1</v>
      </c>
      <c r="G6" s="22">
        <v>98.7</v>
      </c>
      <c r="H6" s="22">
        <v>98.9</v>
      </c>
    </row>
    <row r="7" spans="1:8" ht="20.399999999999999" customHeight="1">
      <c r="A7" s="11" t="s">
        <v>79</v>
      </c>
      <c r="B7" s="40">
        <v>91.9</v>
      </c>
      <c r="C7" s="22" t="s">
        <v>76</v>
      </c>
      <c r="D7" s="22" t="s">
        <v>76</v>
      </c>
      <c r="E7" s="22" t="s">
        <v>76</v>
      </c>
      <c r="F7" s="22" t="s">
        <v>76</v>
      </c>
      <c r="G7" s="22" t="s">
        <v>76</v>
      </c>
      <c r="H7" s="22" t="s">
        <v>76</v>
      </c>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8">
    <tabColor rgb="FF253268"/>
  </sheetPr>
  <dimension ref="A1:H7"/>
  <sheetViews>
    <sheetView zoomScaleNormal="100" workbookViewId="0"/>
  </sheetViews>
  <sheetFormatPr defaultRowHeight="14.5"/>
  <cols>
    <col min="1" max="1" width="50.54296875" customWidth="1"/>
    <col min="2" max="8" width="20.54296875" customWidth="1"/>
  </cols>
  <sheetData>
    <row r="1" spans="1:8" ht="30" customHeight="1">
      <c r="A1" s="30" t="s">
        <v>147</v>
      </c>
      <c r="B1" s="14"/>
      <c r="C1" s="14"/>
      <c r="D1" s="14"/>
      <c r="E1" s="14"/>
      <c r="F1" s="14"/>
      <c r="G1" s="14"/>
      <c r="H1" s="14"/>
    </row>
    <row r="2" spans="1:8" ht="20.149999999999999" customHeight="1">
      <c r="A2" s="10" t="s">
        <v>40</v>
      </c>
      <c r="B2" s="14"/>
      <c r="C2" s="14"/>
      <c r="D2" s="14"/>
      <c r="E2" s="14"/>
      <c r="F2" s="14"/>
      <c r="G2" s="14"/>
      <c r="H2" s="14"/>
    </row>
    <row r="3" spans="1:8" ht="50.15" customHeight="1">
      <c r="A3" s="11" t="s">
        <v>63</v>
      </c>
      <c r="B3" s="37" t="s">
        <v>81</v>
      </c>
      <c r="C3" s="24" t="s">
        <v>82</v>
      </c>
      <c r="D3" s="24" t="s">
        <v>83</v>
      </c>
      <c r="E3" s="24" t="s">
        <v>84</v>
      </c>
      <c r="F3" s="24" t="s">
        <v>85</v>
      </c>
      <c r="G3" s="24" t="s">
        <v>86</v>
      </c>
      <c r="H3" s="24" t="s">
        <v>69</v>
      </c>
    </row>
    <row r="4" spans="1:8" ht="20.149999999999999" customHeight="1">
      <c r="A4" s="11" t="s">
        <v>87</v>
      </c>
      <c r="B4" s="89">
        <v>53</v>
      </c>
      <c r="C4" s="101" t="s">
        <v>76</v>
      </c>
      <c r="D4" s="101" t="s">
        <v>76</v>
      </c>
      <c r="E4" s="101" t="s">
        <v>76</v>
      </c>
      <c r="F4" s="101" t="s">
        <v>76</v>
      </c>
      <c r="G4" s="101" t="s">
        <v>76</v>
      </c>
      <c r="H4" s="101" t="s">
        <v>76</v>
      </c>
    </row>
    <row r="5" spans="1:8" ht="20.149999999999999" customHeight="1">
      <c r="A5" s="11" t="s">
        <v>77</v>
      </c>
      <c r="B5" s="89">
        <v>97.2</v>
      </c>
      <c r="C5" s="102">
        <v>92</v>
      </c>
      <c r="D5" s="102">
        <v>100</v>
      </c>
      <c r="E5" s="102">
        <v>100</v>
      </c>
      <c r="F5" s="102">
        <v>100</v>
      </c>
      <c r="G5" s="102">
        <v>67</v>
      </c>
      <c r="H5" s="102">
        <v>100</v>
      </c>
    </row>
    <row r="6" spans="1:8" ht="20.399999999999999" customHeight="1">
      <c r="A6" s="11" t="s">
        <v>78</v>
      </c>
      <c r="B6" s="89">
        <v>99</v>
      </c>
      <c r="C6" s="102">
        <v>100</v>
      </c>
      <c r="D6" s="102">
        <v>100</v>
      </c>
      <c r="E6" s="102">
        <v>100</v>
      </c>
      <c r="F6" s="102">
        <v>100</v>
      </c>
      <c r="G6" s="102">
        <v>100</v>
      </c>
      <c r="H6" s="102">
        <v>91</v>
      </c>
    </row>
    <row r="7" spans="1:8" ht="20.399999999999999" customHeight="1">
      <c r="A7" s="11" t="s">
        <v>79</v>
      </c>
      <c r="B7" s="89">
        <v>100</v>
      </c>
      <c r="C7" s="102" t="s">
        <v>76</v>
      </c>
      <c r="D7" s="102" t="s">
        <v>76</v>
      </c>
      <c r="E7" s="102" t="s">
        <v>76</v>
      </c>
      <c r="F7" s="102" t="s">
        <v>76</v>
      </c>
      <c r="G7" s="102" t="s">
        <v>76</v>
      </c>
      <c r="H7" s="102" t="s">
        <v>76</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Cover_sheet</vt:lpstr>
      <vt:lpstr>Notes </vt:lpstr>
      <vt:lpstr>Table_of_contents</vt:lpstr>
      <vt:lpstr>Dashboard </vt:lpstr>
      <vt:lpstr>Table_5a</vt:lpstr>
      <vt:lpstr>Table_5b</vt:lpstr>
      <vt:lpstr>Table_5c</vt:lpstr>
      <vt:lpstr>Table_5d</vt:lpstr>
      <vt:lpstr>Table_5e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2024-07-29T14:41:53Z</dcterms:created>
  <dcterms:modified xsi:type="dcterms:W3CDTF">2024-07-29T14:42:21Z</dcterms:modified>
  <cp:category/>
  <cp:contentStatus/>
</cp:coreProperties>
</file>